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RgKEWzh0L9e3P9TtxtAYzbfqXUx111yCetsquzOf8cqAWtn/meWA9KXteWJzGi6whCryrnwNemdwtSfWsS4+WA==" workbookSaltValue="g4ZHhOnRHQOxsbIbsgOB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BG10" i="8"/>
  <c r="B9" i="6"/>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<sst xmlns="http://schemas.openxmlformats.org/spreadsheetml/2006/main" count="2074" uniqueCount="910">
  <si>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</si>
  <si>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</si>
  <si>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</si>
  <si>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</si>
  <si>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</si>
  <si>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</si>
  <si>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</si>
  <si>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</si>
  <si>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</si>
  <si>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</si>
  <si>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</si>
  <si>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</si>
  <si>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</si>
  <si>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</si>
  <si>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</si>
  <si>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</si>
  <si>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</si>
  <si>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</si>
  <si>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</si>
  <si>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</si>
  <si>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</si>
  <si>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</si>
  <si>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</si>
  <si>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</si>
  <si>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</si>
  <si>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</si>
  <si>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</si>
  <si>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</si>
  <si>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</si>
  <si>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</si>
  <si>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</si>
  <si>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</si>
  <si>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</si>
  <si>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</si>
  <si>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</si>
  <si>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</si>
  <si>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</si>
  <si>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</si>
  <si>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</si>
  <si>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</si>
  <si>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</si>
  <si>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</si>
  <si>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</si>
  <si>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</si>
  <si>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</si>
  <si>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</si>
  <si>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</si>
  <si>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</si>
  <si>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</si>
  <si>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</si>
  <si>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</si>
  <si>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</si>
  <si>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</si>
  <si>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</si>
  <si>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</si>
  <si>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</si>
  <si>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</si>
  <si>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</si>
  <si>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</si>
  <si>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</si>
  <si>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</si>
  <si>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</si>
  <si>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</si>
  <si>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</si>
  <si>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</si>
  <si>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</si>
  <si>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</si>
  <si>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</si>
  <si>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</si>
  <si>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</si>
  <si>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</si>
  <si>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</si>
  <si>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</si>
  <si>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</si>
  <si>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</si>
  <si>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</si>
  <si>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</si>
  <si>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</si>
  <si>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</si>
  <si>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</si>
  <si>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</si>
  <si>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</si>
  <si>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</si>
  <si>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</si>
  <si>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</si>
  <si>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</si>
  <si>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</si>
  <si>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</si>
  <si>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</si>
  <si>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</si>
  <si>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</si>
  <si>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</si>
  <si>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</si>
  <si>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</si>
  <si>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</si>
  <si>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</si>
  <si>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</si>
  <si>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</si>
  <si>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</si>
  <si>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</si>
  <si>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</si>
  <si>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</si>
  <si>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</si>
  <si>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</si>
  <si>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</si>
  <si>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</si>
  <si>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</si>
  <si>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</si>
  <si>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</si>
  <si>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</si>
  <si>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</si>
  <si>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</si>
  <si>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</si>
  <si>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</si>
  <si>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</si>
  <si>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</si>
  <si>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</si>
  <si>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</si>
  <si>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</si>
  <si>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</si>
  <si>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</si>
  <si>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</si>
  <si>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</si>
  <si>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</si>
  <si>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</si>
  <si>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</si>
  <si>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</si>
  <si>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</si>
  <si>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</si>
  <si>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</si>
  <si>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</si>
  <si>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</si>
  <si>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</si>
  <si>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</si>
  <si>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</si>
  <si>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</si>
  <si>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</si>
  <si>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</si>
  <si>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</si>
  <si>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</si>
  <si>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</si>
  <si>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</si>
  <si>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</si>
  <si>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</si>
  <si>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</si>
  <si>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</si>
  <si>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</si>
  <si>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</si>
  <si>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</si>
  <si>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</si>
  <si>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</si>
  <si>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</si>
  <si>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</si>
  <si>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</si>
  <si>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</si>
  <si>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</si>
  <si>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</si>
  <si>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</si>
  <si>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</si>
  <si>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</si>
  <si>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</si>
  <si>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</si>
  <si>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</si>
  <si>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</si>
  <si>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</si>
  <si>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</si>
  <si>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</si>
  <si>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</si>
  <si>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</si>
  <si>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</si>
  <si>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</si>
  <si>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</si>
  <si>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</si>
  <si>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</si>
  <si>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</si>
  <si>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</si>
  <si>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</si>
  <si>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</si>
  <si>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</si>
  <si>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</si>
  <si>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</si>
  <si>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</si>
  <si>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</si>
  <si>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</si>
  <si>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</si>
  <si>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</si>
  <si>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</si>
  <si>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</si>
  <si>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</si>
  <si>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</si>
  <si>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</si>
  <si>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</si>
  <si>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</si>
  <si>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</si>
  <si>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</si>
  <si>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</si>
  <si>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</si>
  <si>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</si>
  <si>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</si>
  <si>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</si>
  <si>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</si>
  <si>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</si>
  <si>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</si>
  <si>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</si>
  <si>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</si>
  <si>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</si>
  <si>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</si>
  <si>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</si>
  <si>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</si>
  <si>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</si>
  <si>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</si>
  <si>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</si>
  <si>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</si>
  <si>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</si>
  <si>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</si>
  <si>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</si>
  <si>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</si>
  <si>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</si>
  <si>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</si>
  <si>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</si>
  <si>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</si>
  <si>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</si>
  <si>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</si>
  <si>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</si>
  <si>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</si>
  <si>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</si>
  <si>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</si>
  <si>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</si>
  <si>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</si>
  <si>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</si>
  <si>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</si>
  <si>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</si>
  <si>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</si>
  <si>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</si>
  <si>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</si>
  <si>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</si>
  <si>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</si>
  <si>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</si>
  <si>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</si>
  <si>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</si>
  <si>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</si>
  <si>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</si>
  <si>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</si>
  <si>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</si>
  <si>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</si>
  <si>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</si>
  <si>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</si>
  <si>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</si>
  <si>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</si>
  <si>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</si>
  <si>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</si>
  <si>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</si>
  <si>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</si>
  <si>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</si>
  <si>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</si>
  <si>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</si>
  <si>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</si>
  <si>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</si>
  <si>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</si>
  <si>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</si>
  <si>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</si>
  <si>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</si>
  <si>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</si>
  <si>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</si>
  <si>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</si>
  <si>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</si>
  <si>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</si>
  <si>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</si>
  <si>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</si>
  <si>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</si>
  <si>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</si>
  <si>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</si>
  <si>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</si>
  <si>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</si>
  <si>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</si>
  <si>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</si>
  <si>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</si>
  <si>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</si>
  <si>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</si>
  <si>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</si>
  <si>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</si>
  <si>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</si>
  <si>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</si>
  <si>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</si>
  <si>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</si>
  <si>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</si>
  <si>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</si>
  <si>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</si>
  <si>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</si>
  <si>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</si>
  <si>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</si>
  <si>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</si>
  <si>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</si>
  <si>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</si>
  <si>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</si>
  <si>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</si>
  <si>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</si>
  <si>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</si>
  <si>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</si>
  <si>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</si>
  <si>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</si>
  <si>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</si>
  <si>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</si>
  <si>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</si>
  <si>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</si>
  <si>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</si>
  <si>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</si>
  <si>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</si>
  <si>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</si>
  <si>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</si>
  <si>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</si>
  <si>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</si>
  <si>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</si>
  <si>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</si>
  <si>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</si>
  <si>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</si>
  <si>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</si>
  <si>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</si>
  <si>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</si>
  <si>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</si>
  <si>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</si>
  <si>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</si>
  <si>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</si>
  <si>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</si>
  <si>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</si>
  <si>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</si>
  <si>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</si>
  <si>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</si>
  <si>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</si>
  <si>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</si>
  <si>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</si>
  <si>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</si>
  <si>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</si>
  <si>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</si>
  <si>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</si>
  <si>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</si>
  <si>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</si>
  <si>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</si>
  <si>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</si>
  <si>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</si>
  <si>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</si>
  <si>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</si>
  <si>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</si>
  <si>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</si>
  <si>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</si>
  <si>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</si>
  <si>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</si>
  <si>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</si>
  <si>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</si>
  <si>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</si>
  <si>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</si>
  <si>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</si>
  <si>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</si>
  <si>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</si>
  <si>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</si>
  <si>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</si>
  <si>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</si>
  <si>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</si>
  <si>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</si>
  <si>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</si>
  <si>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</si>
  <si>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</si>
  <si>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</si>
  <si>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</si>
  <si>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</si>
  <si>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</si>
  <si>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</si>
  <si>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</si>
  <si>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</si>
  <si>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</si>
  <si>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</si>
  <si>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</si>
  <si>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</si>
  <si>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</si>
  <si>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</si>
  <si>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</si>
  <si>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</si>
  <si>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</si>
  <si>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</si>
  <si>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</si>
  <si>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</si>
  <si>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</si>
  <si>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</si>
  <si>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</si>
  <si>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</si>
  <si>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</si>
  <si>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</si>
  <si>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</si>
  <si>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</si>
  <si>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</si>
  <si>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</si>
  <si>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</si>
  <si>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</si>
  <si>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</si>
  <si>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</si>
  <si>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</si>
  <si>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</si>
  <si>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</si>
  <si>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</si>
  <si>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</si>
  <si>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</si>
  <si>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</si>
  <si>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</si>
  <si>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</si>
  <si>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</si>
  <si>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</si>
  <si>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</si>
  <si>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</si>
  <si>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</si>
  <si>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</si>
  <si>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</si>
  <si>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</si>
  <si>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</si>
  <si>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</si>
  <si>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</si>
  <si>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</si>
  <si>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</si>
  <si>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</si>
  <si>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</si>
  <si>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</si>
  <si>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</si>
  <si>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</si>
  <si>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</si>
  <si>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</si>
  <si>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</si>
  <si>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</si>
  <si>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</si>
  <si>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</si>
  <si>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</si>
  <si>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</si>
  <si>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</si>
  <si>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</si>
  <si>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</si>
  <si>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</si>
  <si>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</si>
  <si>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</si>
  <si>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</si>
  <si>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</si>
  <si>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</si>
  <si>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</si>
  <si>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</si>
  <si>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</si>
  <si>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</si>
  <si>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</si>
  <si>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</si>
  <si>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</si>
  <si>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</si>
  <si>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</si>
  <si>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</si>
  <si>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</si>
  <si>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</si>
  <si>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</si>
  <si>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</si>
  <si>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</si>
  <si>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</si>
  <si>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</si>
  <si>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</si>
  <si>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</si>
  <si>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</si>
  <si>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</si>
  <si>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</si>
  <si>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</si>
  <si>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</si>
  <si>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</si>
  <si>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</si>
  <si>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</si>
  <si>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</si>
  <si>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</si>
  <si>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</si>
  <si>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</si>
  <si>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</si>
  <si>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</si>
  <si>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</si>
  <si>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</si>
  <si>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</si>
  <si>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</si>
  <si>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</si>
  <si>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</si>
  <si>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</si>
  <si>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</si>
  <si>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</si>
  <si>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</si>
  <si>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</si>
  <si>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</si>
  <si>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</si>
  <si>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</si>
  <si>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</si>
  <si>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</si>
  <si>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</si>
  <si>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</si>
  <si>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</si>
  <si>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</si>
  <si>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</si>
  <si>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</si>
  <si>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</si>
  <si>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</si>
  <si>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</si>
  <si>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</si>
  <si>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</si>
  <si>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</si>
  <si>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</si>
  <si>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</si>
  <si>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</si>
  <si>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</si>
  <si>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</si>
  <si>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</si>
  <si>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</si>
  <si>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</si>
  <si>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</si>
  <si>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</si>
  <si>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</si>
  <si>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</si>
  <si>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</si>
  <si>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</si>
  <si>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</si>
  <si>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</si>
  <si>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</si>
  <si>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</si>
  <si>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</si>
  <si>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</si>
  <si>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</si>
  <si>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</si>
  <si>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</si>
  <si>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</si>
  <si>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</si>
  <si>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</si>
  <si>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</si>
  <si>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</si>
  <si>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</si>
  <si>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</si>
  <si>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</si>
  <si>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</si>
  <si>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</si>
  <si>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</si>
  <si>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</si>
  <si>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</si>
  <si>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</si>
  <si>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</si>
  <si>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</si>
  <si>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</si>
  <si>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</si>
  <si>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</si>
  <si>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</si>
  <si>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</si>
  <si>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</si>
  <si>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</si>
  <si>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</si>
  <si>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</si>
  <si>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</si>
  <si>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</si>
  <si>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</si>
  <si>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</si>
  <si>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</si>
  <si>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</si>
  <si>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</si>
  <si>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</si>
  <si>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</si>
  <si>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</si>
  <si>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</si>
  <si>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</si>
  <si>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</si>
  <si>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</si>
  <si>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</si>
  <si>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</si>
  <si>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</si>
  <si>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</si>
  <si>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</si>
  <si>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</si>
  <si>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</si>
  <si>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</si>
  <si>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</si>
  <si>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</si>
  <si>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</si>
  <si>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</si>
  <si>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</si>
  <si>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</si>
  <si>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</si>
  <si>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</si>
  <si>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</si>
  <si>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</si>
  <si>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</si>
  <si>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</si>
  <si>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</si>
  <si>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</si>
  <si>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</si>
  <si>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</si>
  <si>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</si>
  <si>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</si>
  <si>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</si>
  <si>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</si>
  <si>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</si>
  <si>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</si>
  <si>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</si>
  <si>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</si>
  <si>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</si>
  <si>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</si>
  <si>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</si>
  <si>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</si>
  <si>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</si>
  <si>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</si>
  <si>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</si>
  <si>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</si>
  <si>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</si>
  <si>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</si>
  <si>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</si>
  <si>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</si>
  <si>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</si>
  <si>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</si>
  <si>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</si>
  <si>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</si>
  <si>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</si>
  <si>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</si>
  <si>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</si>
  <si>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</si>
  <si>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</si>
  <si>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</si>
  <si>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</si>
  <si>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</si>
  <si>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</si>
  <si>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</si>
  <si>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</si>
  <si>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</si>
  <si>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</si>
  <si>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</si>
  <si>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</si>
  <si>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</si>
  <si>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</si>
  <si>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</si>
  <si>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</si>
  <si>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</si>
  <si>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</si>
  <si>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</si>
  <si>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</si>
  <si>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</si>
  <si>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</si>
  <si>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</si>
  <si>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</si>
  <si>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</si>
  <si>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</si>
  <si>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</si>
  <si>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</si>
  <si>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</si>
  <si>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</si>
  <si>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</si>
  <si>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</si>
  <si>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</si>
  <si>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</si>
  <si>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</si>
  <si>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</si>
  <si>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</si>
  <si>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</si>
  <si>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</si>
  <si>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</si>
  <si>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</si>
  <si>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</si>
  <si>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</si>
  <si>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</si>
  <si>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</si>
  <si>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</si>
  <si>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</si>
  <si>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</si>
  <si>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</si>
  <si>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</si>
  <si>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</si>
  <si>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</si>
  <si>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</si>
  <si>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</si>
  <si>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</si>
  <si>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</si>
  <si>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</si>
  <si>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</si>
  <si>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</si>
  <si>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</si>
  <si>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</si>
  <si>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</si>
  <si>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</si>
  <si>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</si>
  <si>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</si>
  <si>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</si>
  <si>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</si>
  <si>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</si>
  <si>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</si>
  <si>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</si>
  <si>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</si>
  <si>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</si>
  <si>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</si>
  <si>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</si>
  <si>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</si>
  <si>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</si>
  <si>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</si>
  <si>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</si>
  <si>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</si>
  <si>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</si>
  <si>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</si>
  <si>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</si>
  <si>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</si>
  <si>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</si>
  <si>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</si>
  <si>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</si>
  <si>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</si>
  <si>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</si>
  <si>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</si>
  <si>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</si>
  <si>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</si>
  <si>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</si>
  <si>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</si>
  <si>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</si>
  <si>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</si>
  <si>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</si>
  <si>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</si>
  <si>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</si>
  <si>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</si>
  <si>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</si>
  <si>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</si>
  <si>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</si>
  <si>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</si>
  <si>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</si>
  <si>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</si>
  <si>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</si>
  <si>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</si>
  <si>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</si>
  <si>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</si>
  <si>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</si>
  <si>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</si>
  <si>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</si>
  <si>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</si>
  <si>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</si>
  <si>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</si>
  <si>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</si>
  <si>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</si>
  <si>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</si>
  <si>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</si>
  <si>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</si>
  <si>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</si>
  <si>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</si>
  <si>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</si>
  <si>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</si>
  <si>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</si>
  <si>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</si>
  <si>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</si>
  <si>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</si>
  <si>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</si>
  <si>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</si>
  <si>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</si>
  <si>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</si>
  <si>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</si>
  <si>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</si>
  <si>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</si>
  <si>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</si>
  <si>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</si>
  <si>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</si>
  <si>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</si>
  <si>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</si>
  <si>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</si>
  <si>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</si>
  <si>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</si>
  <si>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</si>
  <si>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</si>
  <si>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</si>
  <si>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</si>
  <si>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</si>
  <si>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</si>
  <si>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</si>
  <si>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</si>
  <si>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</si>
  <si>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</si>
  <si>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</si>
  <si>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</si>
  <si>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</si>
  <si>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</si>
  <si>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</si>
  <si>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</si>
  <si>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</si>
  <si>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</si>
  <si>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</si>
  <si>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</si>
  <si>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</si>
  <si>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</si>
  <si>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</si>
  <si>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</si>
  <si>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</si>
  <si>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</si>
  <si>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</si>
  <si>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</si>
  <si>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</si>
  <si>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</si>
  <si>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</si>
  <si>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</si>
  <si>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</si>
  <si>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</si>
  <si>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</si>
  <si>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</si>
  <si>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</si>
  <si>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</si>
  <si>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</si>
  <si>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</si>
  <si>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</si>
  <si>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</si>
  <si>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</si>
  <si>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</si>
  <si>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</si>
  <si>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</si>
  <si>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</si>
  <si>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</si>
  <si>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</si>
  <si>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</si>
  <si>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</si>
  <si>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</si>
  <si>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</si>
  <si>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</si>
  <si>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</si>
  <si>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</si>
  <si>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</si>
  <si>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</si>
  <si>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</si>
  <si>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</si>
  <si>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</si>
  <si>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</si>
  <si>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</si>
  <si>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</si>
  <si>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</si>
  <si>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</si>
  <si>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</si>
  <si>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</si>
  <si>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</si>
  <si>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</si>
  <si>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</si>
  <si>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</si>
  <si>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</si>
  <si>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</si>
  <si>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</si>
  <si>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</si>
  <si>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</si>
  <si>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</si>
  <si>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</si>
  <si>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</si>
  <si>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</si>
  <si>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</si>
  <si>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</si>
  <si>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</si>
  <si>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</si>
  <si>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</si>
  <si>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</si>
  <si>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</si>
  <si>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</si>
  <si>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</si>
  <si>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</si>
  <si>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</si>
  <si>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</si>
  <si>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</si>
  <si>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</si>
  <si>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</si>
  <si>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</si>
  <si>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</si>
  <si>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</si>
  <si>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</si>
  <si>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</si>
  <si>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</si>
  <si>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</si>
  <si>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</si>
  <si>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</si>
  <si>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</si>
  <si>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</si>
  <si>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</si>
  <si>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</si>
  <si>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</si>
  <si>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</si>
  <si>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</si>
  <si>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</si>
  <si>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</si>
  <si>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</si>
  <si>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</si>
  <si>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</si>
  <si>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</si>
  <si>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</si>
  <si>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</si>
  <si>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</si>
  <si>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</si>
  <si>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</si>
  <si>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</si>
  <si>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</si>
  <si>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</si>
  <si>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</si>
  <si>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</si>
  <si>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</si>
  <si>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</si>
  <si>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</si>
  <si>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</si>
  <si>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</si>
  <si>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</si>
  <si>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</si>
  <si>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</si>
  <si>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</si>
  <si>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</si>
  <si>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</si>
  <si>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</si>
  <si>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</si>
  <si>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</si>
  <si>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</si>
  <si>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</si>
  <si>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</si>
  <si>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</si>
  <si>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</si>
  <si>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</si>
  <si>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</si>
  <si>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</si>
  <si>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</si>
  <si>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</si>
  <si>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</si>
  <si>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TELDE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</si>
</sst>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h9lizWdQU2I4KUVqX7Re1277E7hsulApzwCCJyF0yIrEApWDaKDtYgSFZDfRRf9txCw99Hn415p6kA2iKGMww==" saltValue="iDCNy6dmelWlAdH6/hJK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30.687654933068913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194</v>
      </c>
      <c r="D10" s="225">
        <f>IF(ISNUMBER(Datos!I10),Datos!I10," - ")</f>
        <v>194</v>
      </c>
      <c r="E10" s="226">
        <f>IF(ISNUMBER(Datos!J10),Datos!J10," - ")</f>
        <v>50</v>
      </c>
      <c r="F10" s="226">
        <f>IF(ISNUMBER(Datos!K10),Datos!K10," - ")</f>
        <v>87</v>
      </c>
      <c r="G10" s="1034" t="str">
        <f>IF(Datos!E10&lt;&gt;"",Datos!E10,Datos!D10)</f>
        <v>37</v>
      </c>
      <c r="H10" s="227">
        <f>IF(ISNUMBER(Datos!L10),Datos!L10," - ")</f>
        <v>157</v>
      </c>
      <c r="I10" s="1044" t="str">
        <f>IF(ISNUMBER(Datos!AS10/Datos!BM10),Datos!AS10/Datos!BM10," - ")</f>
        <v xml:space="preserve"> - </v>
      </c>
      <c r="J10" s="1045">
        <f>IF(ISNUMBER(Datos!BY10/Datos!CN10),Datos!BY10/Datos!CN10," - ")</f>
        <v>0</v>
      </c>
      <c r="K10" s="230">
        <f t="shared" ref="K10:K12" si="1">IF(ISNUMBER((E10-F10)/C10),(E10-F10)/C10," - ")</f>
        <v>-0.19072164948453607</v>
      </c>
      <c r="L10" s="1025">
        <f>IF(ISNUMBER(NºAsuntos!I10/NºAsuntos!G10),(NºAsuntos!I10/NºAsuntos!G10)*11," - ")</f>
        <v>19.850574712643677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194</v>
      </c>
      <c r="D13" s="1049">
        <f>SUBTOTAL(9,D9:D12)</f>
        <v>194</v>
      </c>
      <c r="E13" s="1050">
        <f>SUBTOTAL(9,E9:E12)</f>
        <v>50</v>
      </c>
      <c r="F13" s="1051">
        <f>SUBTOTAL(9,F9:F12)</f>
        <v>87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2715</v>
      </c>
      <c r="D15" s="225">
        <f>IF(ISNUMBER(IF(D_I="SI",Datos!I15,Datos!I15+Datos!AC15)),IF(D_I="SI",Datos!I15,Datos!I15+Datos!AC15)," - ")</f>
        <v>2703</v>
      </c>
      <c r="E15" s="226">
        <f>IF(ISNUMBER(IF(D_I="SI",Datos!J15,Datos!J15+Datos!AD15)),IF(D_I="SI",Datos!J15,Datos!J15+Datos!AD15)," - ")</f>
        <v>2362</v>
      </c>
      <c r="F15" s="226">
        <f>IF(ISNUMBER(IF(D_I="SI",Datos!K15,Datos!K15+Datos!AE15)),IF(D_I="SI",Datos!K15,Datos!K15+Datos!AE15)," - ")</f>
        <v>2318</v>
      </c>
      <c r="G15" s="1034" t="str">
        <f>IF(Datos!E15&lt;&gt;"",Datos!E15,Datos!D15)</f>
        <v>03</v>
      </c>
      <c r="H15" s="227">
        <f>IF(ISNUMBER(IF(D_I="SI",Datos!L15,Datos!L15+Datos!AF15)),IF(D_I="SI",Datos!L15,Datos!L15+Datos!AF15)," - ")</f>
        <v>2759</v>
      </c>
      <c r="I15" s="1044" t="str">
        <f>IF(ISNUMBER(Datos!AS15/Datos!BM15),Datos!AS15/Datos!BM15," - ")</f>
        <v xml:space="preserve"> - </v>
      </c>
      <c r="J15" s="1045">
        <f>IF(ISNUMBER(Datos!BY15/Datos!CN15),Datos!BY15/Datos!CN15," - ")</f>
        <v>0</v>
      </c>
      <c r="K15" s="230">
        <f t="shared" ref="K15:K17" si="3">IF(ISNUMBER((E15-F15)/C15),(E15-F15)/C15," - ")</f>
        <v>1.6206261510128914E-2</v>
      </c>
      <c r="L15" s="1025">
        <f>IF(ISNUMBER(NºAsuntos!I15/NºAsuntos!G15),(NºAsuntos!I15/NºAsuntos!G15)*11," - ")</f>
        <v>13.092752372735116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4</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121</v>
      </c>
      <c r="F17" s="226">
        <f>IF(ISNUMBER(IF(D_I="SI",Datos!K17,Datos!K17+Datos!AE17)),IF(D_I="SI",Datos!K17,Datos!K17+Datos!AE17)," - ")</f>
        <v>113</v>
      </c>
      <c r="G17" s="1034" t="str">
        <f>IF(Datos!E17&lt;&gt;"",Datos!E17,Datos!D17)</f>
        <v>37</v>
      </c>
      <c r="H17" s="227">
        <f>IF(ISNUMBER(IF(D_I="SI",Datos!L17,Datos!L17+Datos!AF17)),IF(D_I="SI",Datos!L17,Datos!L17+Datos!AF17)," - ")</f>
        <v>159</v>
      </c>
      <c r="I17" s="1044" t="str">
        <f>IF(ISNUMBER(Datos!AS17/Datos!BM17),Datos!AS17/Datos!BM17," - ")</f>
        <v xml:space="preserve"> - </v>
      </c>
      <c r="J17" s="1045" t="str">
        <f>IF(ISNUMBER((Datos!BY17+Datos!BZ17)/Datos!CN17),(Datos!BY17+Datos!BZ17)/Datos!CN17," - ")</f>
        <v xml:space="preserve"> - </v>
      </c>
      <c r="K17" s="230">
        <f t="shared" si="3"/>
        <v>5.2980132450331126E-2</v>
      </c>
      <c r="L17" s="1025">
        <f>IF(ISNUMBER(NºAsuntos!I17/NºAsuntos!G17),(NºAsuntos!I17/NºAsuntos!G17)*11," - ")</f>
        <v>15.477876106194691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2869</v>
      </c>
      <c r="D18" s="1049">
        <f>SUBTOTAL(9,D15:D17)</f>
        <v>2858</v>
      </c>
      <c r="E18" s="1050">
        <f>SUBTOTAL(9,E15:E17)</f>
        <v>2483</v>
      </c>
      <c r="F18" s="1050">
        <f>SUBTOTAL(9,F15:F17)</f>
        <v>2431</v>
      </c>
      <c r="G18" s="1052" t="str">
        <f ca="1">INDIRECT(CONCATENATE("G",ROW()-1))</f>
        <v>37</v>
      </c>
      <c r="H18" s="1053">
        <f ca="1">SUMIF(G$14:G17,G18,H$14:H17)</f>
        <v>159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3063</v>
      </c>
      <c r="D19" s="1071">
        <f>SUBTOTAL(9,D9:D18)</f>
        <v>3052</v>
      </c>
      <c r="E19" s="1072">
        <f>SUBTOTAL(9,E9:E18)</f>
        <v>2533</v>
      </c>
      <c r="F19" s="1072">
        <f>SUBTOTAL(9,F9:F18)</f>
        <v>2518</v>
      </c>
      <c r="G19" s="1073"/>
      <c r="H19" s="1074">
        <f ca="1">SUMIF(B9:B18,"TOTAL",H9:H18)</f>
        <v>159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DpwBTqg4zYy78hv/8b+mjmcEvZbrsBdMn8iiazARuzOOfGg9evTRijQOpnVjlUS3hJTRR8vMF85CBqpB/HnlvA==" saltValue="nZ6G3+qSEwqcyDbKNzi8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6Er67PAK6k/JVciJuDuQjDGCykL9N6KT+PpOSPUPoNb4AcVdukZRwsZX4Hd69pOJ1HChdyl31g+XDHWM8bXQ==" saltValue="7egprh9G6Wx3uH8xUPyZ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9931</v>
      </c>
      <c r="J9" s="181">
        <v>4909</v>
      </c>
      <c r="K9" s="181">
        <v>3855</v>
      </c>
      <c r="L9" s="181">
        <v>10978</v>
      </c>
      <c r="M9" s="181">
        <v>1044</v>
      </c>
      <c r="N9" s="181">
        <v>2187</v>
      </c>
      <c r="O9" s="181">
        <v>1128</v>
      </c>
      <c r="P9" s="181">
        <v>912</v>
      </c>
      <c r="Q9" s="181">
        <v>474</v>
      </c>
      <c r="R9" s="181">
        <v>10076</v>
      </c>
      <c r="S9" s="181">
        <v>8060</v>
      </c>
      <c r="T9" s="181">
        <v>4260</v>
      </c>
      <c r="U9" s="181">
        <v>3536</v>
      </c>
      <c r="V9" s="181">
        <v>8784</v>
      </c>
      <c r="W9" s="181">
        <v>780</v>
      </c>
      <c r="X9" s="188">
        <v>1575</v>
      </c>
      <c r="Y9" s="191">
        <v>274</v>
      </c>
      <c r="Z9" s="181">
        <v>181</v>
      </c>
      <c r="AA9" s="181">
        <v>179</v>
      </c>
      <c r="AB9" s="181">
        <v>276</v>
      </c>
      <c r="AC9" s="181">
        <v>0</v>
      </c>
      <c r="AD9" s="181">
        <v>0</v>
      </c>
      <c r="AE9" s="181">
        <v>0</v>
      </c>
      <c r="AF9" s="188">
        <v>0</v>
      </c>
      <c r="AG9" s="191">
        <v>241</v>
      </c>
      <c r="AH9" s="181">
        <v>131</v>
      </c>
      <c r="AI9" s="181">
        <v>180</v>
      </c>
      <c r="AJ9" s="192">
        <v>192</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8301</v>
      </c>
      <c r="AZ9" s="123">
        <f>IF(ISNUMBER(IF(J_V="SI",T9,T9+AH9)),IF(J_V="SI",T9,T9+AH9)," - ")</f>
        <v>4391</v>
      </c>
      <c r="BA9" s="124">
        <f>IF(ISNUMBER(IF(J_V="SI",U9,U9+AI9)),IF(J_V="SI",U9,U9+AI9)," - ")</f>
        <v>3716</v>
      </c>
      <c r="BB9" s="124">
        <f>IF(ISNUMBER(IF(J_V="SI",V9,V9+AJ9)),IF(J_V="SI",V9,V9+AJ9)," - ")</f>
        <v>8976</v>
      </c>
      <c r="BC9" s="125">
        <f>IF(ISNUMBER(X9),X9," - ")</f>
        <v>1575</v>
      </c>
      <c r="BD9" s="126">
        <f>IF(ISNUMBER(BA9/AZ9),BA9/AZ9," - ")</f>
        <v>0.84627647460715094</v>
      </c>
      <c r="BE9" s="127">
        <f>IF(ISNUMBER(BB9/BA9),BB9/BA9, " - ")</f>
        <v>2.4155005382131325</v>
      </c>
      <c r="BF9" s="127">
        <f>IF(ISNUMBER(BC9/BA9),BC9/BA9, " - ")</f>
        <v>0.4238428417653391</v>
      </c>
      <c r="BG9" s="196">
        <f>IF(ISNUMBER((AY9+AZ9)/BA9),(AY9+AZ9)/BA9," - ")</f>
        <v>3.4155005382131325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194</v>
      </c>
      <c r="J10" s="181">
        <v>50</v>
      </c>
      <c r="K10" s="181">
        <v>87</v>
      </c>
      <c r="L10" s="181">
        <v>157</v>
      </c>
      <c r="M10" s="181">
        <v>16</v>
      </c>
      <c r="N10" s="181">
        <v>31</v>
      </c>
      <c r="O10" s="181">
        <v>0</v>
      </c>
      <c r="P10" s="181">
        <v>25</v>
      </c>
      <c r="Q10" s="181">
        <v>13</v>
      </c>
      <c r="R10" s="181">
        <v>99</v>
      </c>
      <c r="S10" s="181">
        <v>171</v>
      </c>
      <c r="T10" s="181">
        <v>41</v>
      </c>
      <c r="U10" s="181">
        <v>35</v>
      </c>
      <c r="V10" s="181">
        <v>177</v>
      </c>
      <c r="W10" s="181">
        <v>12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171</v>
      </c>
      <c r="AZ10" s="129">
        <f t="shared" si="0"/>
        <v>41</v>
      </c>
      <c r="BA10" s="129">
        <f t="shared" si="0"/>
        <v>35</v>
      </c>
      <c r="BB10" s="129">
        <f t="shared" si="0"/>
        <v>177</v>
      </c>
      <c r="BC10" s="125">
        <f t="shared" si="0"/>
        <v>12</v>
      </c>
      <c r="BD10" s="126">
        <f>IF(ISNUMBER(BA10/AZ10),BA10/AZ10," - ")</f>
        <v>0.85365853658536583</v>
      </c>
      <c r="BE10" s="127">
        <f>IF(ISNUMBER(BB10/BA10),BB10/BA10, " - ")</f>
        <v>5.0571428571428569</v>
      </c>
      <c r="BF10" s="127">
        <f>IF(ISNUMBER(BC10/BA10),BC10/BA10, " - ")</f>
        <v>0.34285714285714286</v>
      </c>
      <c r="BG10" s="196">
        <f>IF(ISNUMBER((AY10+AZ10)/BA10),(AY10+AZ10)/BA10," - ")</f>
        <v>6.0571428571428569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0</v>
      </c>
      <c r="K12" s="183">
        <v>0</v>
      </c>
      <c r="L12" s="183">
        <v>0</v>
      </c>
      <c r="M12" s="183">
        <v>0</v>
      </c>
      <c r="N12" s="183">
        <v>126</v>
      </c>
      <c r="O12" s="181">
        <v>0</v>
      </c>
      <c r="P12" s="183">
        <v>0</v>
      </c>
      <c r="Q12" s="183">
        <v>144</v>
      </c>
      <c r="R12" s="183">
        <v>579</v>
      </c>
      <c r="S12" s="183">
        <v>1</v>
      </c>
      <c r="T12" s="183">
        <v>0</v>
      </c>
      <c r="U12" s="183">
        <v>1</v>
      </c>
      <c r="V12" s="183">
        <v>0</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1</v>
      </c>
      <c r="AZ12" s="127">
        <f t="shared" si="1"/>
        <v>0</v>
      </c>
      <c r="BA12" s="127">
        <f t="shared" si="1"/>
        <v>1</v>
      </c>
      <c r="BB12" s="127">
        <f t="shared" si="1"/>
        <v>0</v>
      </c>
      <c r="BC12" s="125">
        <f>IF(ISNUMBER(X12),X12," - ")</f>
        <v>0</v>
      </c>
      <c r="BD12" s="126" t="str">
        <f t="shared" si="2"/>
        <v xml:space="preserve"> - </v>
      </c>
      <c r="BE12" s="127">
        <f t="shared" si="3"/>
        <v>0</v>
      </c>
      <c r="BF12" s="127">
        <f t="shared" si="4"/>
        <v>0</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10125</v>
      </c>
      <c r="J13" s="184">
        <f t="shared" si="6"/>
        <v>4959</v>
      </c>
      <c r="K13" s="184">
        <f t="shared" si="6"/>
        <v>3942</v>
      </c>
      <c r="L13" s="184">
        <f t="shared" si="6"/>
        <v>11135</v>
      </c>
      <c r="M13" s="184">
        <f t="shared" si="6"/>
        <v>1060</v>
      </c>
      <c r="N13" s="184">
        <f t="shared" si="6"/>
        <v>2344</v>
      </c>
      <c r="O13" s="184">
        <f t="shared" si="6"/>
        <v>1128</v>
      </c>
      <c r="P13" s="184">
        <f t="shared" si="6"/>
        <v>937</v>
      </c>
      <c r="Q13" s="184">
        <f t="shared" si="6"/>
        <v>631</v>
      </c>
      <c r="R13" s="184">
        <f t="shared" si="6"/>
        <v>10754</v>
      </c>
      <c r="S13" s="184">
        <f t="shared" si="6"/>
        <v>8232</v>
      </c>
      <c r="T13" s="184">
        <f t="shared" si="6"/>
        <v>4301</v>
      </c>
      <c r="U13" s="184">
        <f t="shared" si="6"/>
        <v>3572</v>
      </c>
      <c r="V13" s="184">
        <f t="shared" si="6"/>
        <v>8961</v>
      </c>
      <c r="W13" s="184">
        <f t="shared" si="6"/>
        <v>792</v>
      </c>
      <c r="X13" s="184">
        <f t="shared" si="6"/>
        <v>1575</v>
      </c>
      <c r="Y13" s="184">
        <f t="shared" si="6"/>
        <v>274</v>
      </c>
      <c r="Z13" s="184">
        <f t="shared" si="6"/>
        <v>181</v>
      </c>
      <c r="AA13" s="184">
        <f t="shared" si="6"/>
        <v>179</v>
      </c>
      <c r="AB13" s="184">
        <f t="shared" si="6"/>
        <v>276</v>
      </c>
      <c r="AC13" s="184">
        <f t="shared" si="6"/>
        <v>0</v>
      </c>
      <c r="AD13" s="184">
        <f t="shared" si="6"/>
        <v>0</v>
      </c>
      <c r="AE13" s="184">
        <f t="shared" si="6"/>
        <v>0</v>
      </c>
      <c r="AF13" s="184">
        <f>SUBTOTAL(9,AF9:AF12)</f>
        <v>0</v>
      </c>
      <c r="AG13" s="184">
        <f t="shared" ref="AG13:AT13" si="7">SUBTOTAL(9,AG8:AG12)</f>
        <v>241</v>
      </c>
      <c r="AH13" s="184">
        <f t="shared" si="7"/>
        <v>131</v>
      </c>
      <c r="AI13" s="184">
        <f t="shared" si="7"/>
        <v>180</v>
      </c>
      <c r="AJ13" s="184">
        <f t="shared" si="7"/>
        <v>192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8473</v>
      </c>
      <c r="AZ13" s="184">
        <f>SUBTOTAL(9,AZ8:AZ12)</f>
        <v>4432</v>
      </c>
      <c r="BA13" s="184">
        <f>SUBTOTAL(9,BA8:BA12)</f>
        <v>3752</v>
      </c>
      <c r="BB13" s="184">
        <f>SUBTOTAL(9,BB8:BB12)</f>
        <v>9153</v>
      </c>
      <c r="BC13" s="184">
        <f>SUBTOTAL(9,BC8:BC12)</f>
        <v>1587</v>
      </c>
      <c r="BD13" s="205">
        <f>IF(ISNUMBER(BA13/AZ13),BA13/AZ13," - ")</f>
        <v>0.8465703971119134</v>
      </c>
      <c r="BE13" s="206">
        <f>IF(ISNUMBER(BB13/BA13),BB13/BA13, " - ")</f>
        <v>2.4394989339019189</v>
      </c>
      <c r="BF13" s="206">
        <f>IF(ISNUMBER(BC13/BA13),BC13/BA13, " - ")</f>
        <v>0.42297441364605542</v>
      </c>
      <c r="BG13" s="207">
        <f>IF(ISNUMBER((AY13+AZ13)/BA13),(AY13+AZ13)/BA13," - ")</f>
        <v>3.4394989339019189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2703</v>
      </c>
      <c r="J15" s="183">
        <v>2362</v>
      </c>
      <c r="K15" s="183">
        <v>2318</v>
      </c>
      <c r="L15" s="183">
        <v>2759</v>
      </c>
      <c r="M15" s="183">
        <v>419</v>
      </c>
      <c r="N15" s="183">
        <v>1509</v>
      </c>
      <c r="O15" s="181">
        <v>26</v>
      </c>
      <c r="P15" s="183">
        <v>87</v>
      </c>
      <c r="Q15" s="183">
        <v>103</v>
      </c>
      <c r="R15" s="183">
        <v>370</v>
      </c>
      <c r="S15" s="183">
        <v>2385</v>
      </c>
      <c r="T15" s="183">
        <v>2410</v>
      </c>
      <c r="U15" s="183">
        <v>2062</v>
      </c>
      <c r="V15" s="183">
        <v>2669</v>
      </c>
      <c r="W15" s="183">
        <v>325</v>
      </c>
      <c r="X15" s="189">
        <v>1326</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2385</v>
      </c>
      <c r="AZ15" s="129">
        <f t="shared" si="9"/>
        <v>2410</v>
      </c>
      <c r="BA15" s="129">
        <f t="shared" si="9"/>
        <v>2062</v>
      </c>
      <c r="BB15" s="129">
        <f t="shared" si="9"/>
        <v>2669</v>
      </c>
      <c r="BC15" s="125">
        <f>IF(ISNUMBER(W15),W15," - ")</f>
        <v>325</v>
      </c>
      <c r="BD15" s="126">
        <f>IF(ISNUMBER(BA15/AZ15),BA15/AZ15," - ")</f>
        <v>0.8556016597510373</v>
      </c>
      <c r="BE15" s="127">
        <f>IF(ISNUMBER(BB15/BA15),BB15/BA15, " - ")</f>
        <v>1.2943743937924346</v>
      </c>
      <c r="BF15" s="127">
        <f>IF(ISNUMBER(BC15/BA15),BC15/BA15, " - ")</f>
        <v>0.15761396702230843</v>
      </c>
      <c r="BG15" s="196">
        <f t="shared" ref="BG15:BG16" si="10">IF(ISNUMBER((AY15+AZ15)/BA15),(AY15+AZ15)/BA15," - ")</f>
        <v>2.3254122211445201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v>
      </c>
      <c r="J16" s="183">
        <v>0</v>
      </c>
      <c r="K16" s="183">
        <v>0</v>
      </c>
      <c r="L16" s="183">
        <v>3</v>
      </c>
      <c r="M16" s="183">
        <v>0</v>
      </c>
      <c r="N16" s="183">
        <v>0</v>
      </c>
      <c r="O16" s="181">
        <v>0</v>
      </c>
      <c r="P16" s="183">
        <v>0</v>
      </c>
      <c r="Q16" s="183">
        <v>0</v>
      </c>
      <c r="R16" s="183">
        <v>0</v>
      </c>
      <c r="S16" s="183">
        <v>5</v>
      </c>
      <c r="T16" s="183">
        <v>1</v>
      </c>
      <c r="U16" s="183">
        <v>1</v>
      </c>
      <c r="V16" s="183">
        <v>5</v>
      </c>
      <c r="W16" s="183">
        <v>0</v>
      </c>
      <c r="X16" s="189">
        <v>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5</v>
      </c>
      <c r="AZ16" s="127">
        <f t="shared" si="9"/>
        <v>1</v>
      </c>
      <c r="BA16" s="127">
        <f t="shared" si="9"/>
        <v>1</v>
      </c>
      <c r="BB16" s="127">
        <f t="shared" si="9"/>
        <v>5</v>
      </c>
      <c r="BC16" s="125">
        <f>IF(ISNUMBER(W16),W16," - ")</f>
        <v>0</v>
      </c>
      <c r="BD16" s="126">
        <f t="shared" ref="BD16" si="11">IF(ISNUMBER(BA16/AZ16),BA16/AZ16," - ")</f>
        <v>1</v>
      </c>
      <c r="BE16" s="127">
        <f t="shared" ref="BE16" si="12">IF(ISNUMBER(BB16/BA16),BB16/BA16, " - ")</f>
        <v>5</v>
      </c>
      <c r="BF16" s="127">
        <f t="shared" ref="BF16" si="13">IF(ISNUMBER(BC16/BA16),BC16/BA16, " - ")</f>
        <v>0</v>
      </c>
      <c r="BG16" s="196">
        <f t="shared" si="10"/>
        <v>6</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121</v>
      </c>
      <c r="K17" s="183">
        <v>113</v>
      </c>
      <c r="L17" s="183">
        <v>159</v>
      </c>
      <c r="M17" s="183">
        <v>65</v>
      </c>
      <c r="N17" s="183">
        <v>49</v>
      </c>
      <c r="O17" s="183">
        <v>0</v>
      </c>
      <c r="P17" s="183">
        <v>5</v>
      </c>
      <c r="Q17" s="183">
        <v>12</v>
      </c>
      <c r="R17" s="183">
        <v>31</v>
      </c>
      <c r="S17" s="183">
        <v>186</v>
      </c>
      <c r="T17" s="183">
        <v>169</v>
      </c>
      <c r="U17" s="183">
        <v>128</v>
      </c>
      <c r="V17" s="183">
        <v>227</v>
      </c>
      <c r="W17" s="183">
        <v>66</v>
      </c>
      <c r="X17" s="189">
        <v>101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186</v>
      </c>
      <c r="AZ17" s="129">
        <f t="shared" si="14"/>
        <v>169</v>
      </c>
      <c r="BA17" s="129">
        <f t="shared" si="14"/>
        <v>128</v>
      </c>
      <c r="BB17" s="129">
        <f t="shared" si="14"/>
        <v>227</v>
      </c>
      <c r="BC17" s="125">
        <f>IF(ISNUMBER(W17),W17," - ")</f>
        <v>66</v>
      </c>
      <c r="BD17" s="126">
        <f>IF(ISNUMBER(BA17/AZ17),BA17/AZ17," - ")</f>
        <v>0.75739644970414199</v>
      </c>
      <c r="BE17" s="127">
        <f>IF(ISNUMBER(BB17/BA17),BB17/BA17, " - ")</f>
        <v>1.7734375</v>
      </c>
      <c r="BF17" s="127">
        <f>IF(ISNUMBER(BC17/BA17),BC17/BA17, " - ")</f>
        <v>0.515625</v>
      </c>
      <c r="BG17" s="196">
        <f>IF(ISNUMBER((AY17+AZ17)/BA17),(AY17+AZ17)/BA17," - ")</f>
        <v>2.7734375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2858</v>
      </c>
      <c r="J18" s="184">
        <f t="shared" si="15"/>
        <v>2483</v>
      </c>
      <c r="K18" s="184">
        <f t="shared" si="15"/>
        <v>2431</v>
      </c>
      <c r="L18" s="184">
        <f t="shared" si="15"/>
        <v>2921</v>
      </c>
      <c r="M18" s="184">
        <f t="shared" si="15"/>
        <v>484</v>
      </c>
      <c r="N18" s="184">
        <f t="shared" si="15"/>
        <v>1558</v>
      </c>
      <c r="O18" s="184">
        <f t="shared" si="15"/>
        <v>26</v>
      </c>
      <c r="P18" s="184">
        <f t="shared" si="15"/>
        <v>92</v>
      </c>
      <c r="Q18" s="184">
        <f t="shared" si="15"/>
        <v>115</v>
      </c>
      <c r="R18" s="184">
        <f t="shared" si="15"/>
        <v>401</v>
      </c>
      <c r="S18" s="184">
        <f t="shared" si="15"/>
        <v>2576</v>
      </c>
      <c r="T18" s="184">
        <f t="shared" si="15"/>
        <v>2580</v>
      </c>
      <c r="U18" s="184">
        <f t="shared" si="15"/>
        <v>2191</v>
      </c>
      <c r="V18" s="184">
        <f t="shared" si="15"/>
        <v>2901</v>
      </c>
      <c r="W18" s="184">
        <f t="shared" si="15"/>
        <v>391</v>
      </c>
      <c r="X18" s="184">
        <f t="shared" si="15"/>
        <v>1428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2576</v>
      </c>
      <c r="AZ18" s="184">
        <f>SUBTOTAL(9,AZ14:AZ17)</f>
        <v>2580</v>
      </c>
      <c r="BA18" s="184">
        <f>SUBTOTAL(9,BA14:BA17)</f>
        <v>2191</v>
      </c>
      <c r="BB18" s="184">
        <f>SUBTOTAL(9,BB14:BB17)</f>
        <v>2901</v>
      </c>
      <c r="BC18" s="184">
        <f>SUBTOTAL(9,BC14:BC17)</f>
        <v>391</v>
      </c>
      <c r="BD18" s="205">
        <f>IF(ISNUMBER(BA18/AZ18),BA18/AZ18," - ")</f>
        <v>0.84922480620155039</v>
      </c>
      <c r="BE18" s="206">
        <f>IF(ISNUMBER(BB18/BA18),BB18/BA18, " - ")</f>
        <v>1.3240529438612505</v>
      </c>
      <c r="BF18" s="206">
        <f>IF(ISNUMBER(BC18/BA18),BC18/BA18, " - ")</f>
        <v>0.17845732542218165</v>
      </c>
      <c r="BG18" s="207">
        <f>IF(ISNUMBER((AY18+AZ18)/BA18),(AY18+AZ18)/BA18," - ")</f>
        <v>2.3532633500684619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12983</v>
      </c>
      <c r="J19" s="134">
        <f t="shared" si="18"/>
        <v>7442</v>
      </c>
      <c r="K19" s="134">
        <f t="shared" si="18"/>
        <v>6373</v>
      </c>
      <c r="L19" s="134">
        <f t="shared" si="18"/>
        <v>14056</v>
      </c>
      <c r="M19" s="134">
        <f t="shared" si="18"/>
        <v>1544</v>
      </c>
      <c r="N19" s="134">
        <f t="shared" si="18"/>
        <v>3902</v>
      </c>
      <c r="O19" s="134">
        <f t="shared" si="18"/>
        <v>1154</v>
      </c>
      <c r="P19" s="134">
        <f t="shared" si="18"/>
        <v>1029</v>
      </c>
      <c r="Q19" s="134">
        <f t="shared" si="18"/>
        <v>746</v>
      </c>
      <c r="R19" s="134">
        <f t="shared" si="18"/>
        <v>11155</v>
      </c>
      <c r="S19" s="134">
        <f t="shared" si="18"/>
        <v>10808</v>
      </c>
      <c r="T19" s="134">
        <f t="shared" si="18"/>
        <v>6881</v>
      </c>
      <c r="U19" s="134">
        <f t="shared" si="18"/>
        <v>5763</v>
      </c>
      <c r="V19" s="134">
        <f t="shared" si="18"/>
        <v>11862</v>
      </c>
      <c r="W19" s="134">
        <f t="shared" si="18"/>
        <v>1183</v>
      </c>
      <c r="X19" s="134">
        <f t="shared" si="18"/>
        <v>3003</v>
      </c>
      <c r="Y19" s="134">
        <f t="shared" si="18"/>
        <v>274</v>
      </c>
      <c r="Z19" s="134">
        <f t="shared" si="18"/>
        <v>181</v>
      </c>
      <c r="AA19" s="134">
        <f t="shared" si="18"/>
        <v>179</v>
      </c>
      <c r="AB19" s="134">
        <f t="shared" si="18"/>
        <v>276</v>
      </c>
      <c r="AC19" s="134">
        <f t="shared" si="18"/>
        <v>0</v>
      </c>
      <c r="AD19" s="134">
        <f t="shared" si="18"/>
        <v>0</v>
      </c>
      <c r="AE19" s="134">
        <f t="shared" si="18"/>
        <v>0</v>
      </c>
      <c r="AF19" s="134">
        <f t="shared" si="18"/>
        <v>0</v>
      </c>
      <c r="AG19" s="134">
        <f t="shared" si="18"/>
        <v>241</v>
      </c>
      <c r="AH19" s="134">
        <f t="shared" si="18"/>
        <v>131</v>
      </c>
      <c r="AI19" s="134">
        <f t="shared" si="18"/>
        <v>180</v>
      </c>
      <c r="AJ19" s="134">
        <f t="shared" si="18"/>
        <v>192</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11049</v>
      </c>
      <c r="AZ19" s="134">
        <f>SUBTOTAL(9,AZ9:AZ18)</f>
        <v>7012</v>
      </c>
      <c r="BA19" s="134">
        <f>SUBTOTAL(9,BA9:BA18)</f>
        <v>5943</v>
      </c>
      <c r="BB19" s="134">
        <f>SUBTOTAL(9,BB9:BB18)</f>
        <v>12054</v>
      </c>
      <c r="BC19" s="135">
        <f>SUBTOTAL(9,BC9:BC18)</f>
        <v>1978</v>
      </c>
      <c r="BD19" s="213">
        <f>IF(ISNUMBER(BA19/AZ19),BA19/AZ19," - ")</f>
        <v>0.84754706217912146</v>
      </c>
      <c r="BE19" s="210">
        <f>IF(ISNUMBER(BB19/BA19),BB19/BA19, " - ")</f>
        <v>2.0282685512367493</v>
      </c>
      <c r="BF19" s="210">
        <f>IF(ISNUMBER(BC19/BA19),BC19/BA19, " - ")</f>
        <v>0.33282853777553423</v>
      </c>
      <c r="BG19" s="135">
        <f>IF(ISNUMBER((AY19+AZ19)/BA19),(AY19+AZ19)/BA19," - ")</f>
        <v>3.039037523136463</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9GRJUPpB5v2KkpKk6Tq+A1vHQAHRj7PtG12TcaPQsALD8CwbqLsem+DIAHWFKWvz07mY5Wf8LVJuXRMLuHQ==" saltValue="3isPeXFlMzWqEtIohx6U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v+2ejhH2Ft43CAFps6Ktsw4bSIshocdWJMJ+lsavVMsY8A/5wh9SXiykrFhpLQCkC9d/QNwAguc10K2/GjOQA==" saltValue="Ps2gg/CzyAnKRAa+v2y9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181</v>
      </c>
      <c r="O9" s="334"/>
      <c r="P9" s="334"/>
      <c r="Q9" s="226">
        <f>IF(ISNUMBER(Datos!P9),Datos!P9,0)</f>
        <v>912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474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276</v>
      </c>
      <c r="AI9" s="334" t="str">
        <f>IF(ISNUMBER(Datos!CD9),Datos!CD9,"-")</f>
        <v>-</v>
      </c>
      <c r="AJ9" s="334" t="str">
        <f>IF(ISNUMBER(Datos!EN9),Datos!EN9," - ")</f>
        <v xml:space="preserve"> - </v>
      </c>
      <c r="AK9" s="334"/>
      <c r="AL9" s="479"/>
      <c r="AM9" s="335">
        <f>IF(ISNUMBER(Datos!R9),Datos!R9," - ")</f>
        <v>10076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1044</v>
      </c>
      <c r="BD9" s="229">
        <f>IF(ISNUMBER(Datos!N9),Datos!N9," - ")</f>
        <v>2187</v>
      </c>
      <c r="BE9" s="229" t="str">
        <f>IF(ISNUMBER(Datos!BW9),Datos!BW9," - ")</f>
        <v xml:space="preserve"> - </v>
      </c>
      <c r="BF9" s="228" t="str">
        <f>IF(ISNUMBER(Datos!BX9),Datos!BX9," - ")</f>
        <v xml:space="preserve"> - </v>
      </c>
      <c r="BG9" s="243">
        <f>IF(ISNUMBER(IF(J_V="SI",Datos!K9/Datos!J9,(Datos!K9+Datos!AA9)/(Datos!J9+Datos!Z9))),IF(J_V="SI",Datos!K9/Datos!J9,(Datos!K9+Datos!AA9)/(Datos!J9+Datos!Z9))," - ")</f>
        <v>0.79253438113948915</v>
      </c>
      <c r="BH9" s="260">
        <f>IF(ISNUMBER(((IF(J_V="SI",Datos!L9/Datos!K9,(Datos!L9+Datos!AB9)/(Datos!K9+Datos!AA9)))*11)/factor_trimestre),((IF(J_V="SI",Datos!L9/Datos!K9,(Datos!L9+Datos!AB9)/(Datos!K9+Datos!AA9)))*11)/factor_trimestre," - ")</f>
        <v>8.3693604362915224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4.5445113094002905E-2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194</v>
      </c>
      <c r="G10" s="333">
        <f>IF(ISNUMBER(Datos!I10),Datos!I10," - ")</f>
        <v>194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87</v>
      </c>
      <c r="AC10" s="226">
        <f>IF(ISNUMBER(Datos!Q10),Datos!Q10," - ")</f>
        <v>13</v>
      </c>
      <c r="AD10" s="334"/>
      <c r="AE10" s="484"/>
      <c r="AF10" s="332">
        <f>IF(ISNUMBER(Datos!L10),Datos!L10,"-")</f>
        <v>157</v>
      </c>
      <c r="AG10" s="334"/>
      <c r="AH10" s="334"/>
      <c r="AI10" s="334"/>
      <c r="AJ10" s="334"/>
      <c r="AK10" s="334"/>
      <c r="AL10" s="479"/>
      <c r="AM10" s="335">
        <f>IF(ISNUMBER(Datos!R10),Datos!R10," - ")</f>
        <v>99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31</v>
      </c>
      <c r="BE10" s="229" t="str">
        <f>IF(ISNUMBER(Datos!BW10),Datos!BW10," - ")</f>
        <v xml:space="preserve"> - </v>
      </c>
      <c r="BF10" s="228" t="str">
        <f>IF(ISNUMBER(Datos!BX10),Datos!BX10," - ")</f>
        <v xml:space="preserve"> - </v>
      </c>
      <c r="BG10" s="243">
        <f>IF(ISNUMBER(Datos!K10/Datos!J10),Datos!K10/Datos!J10," - ")</f>
        <v>1.74</v>
      </c>
      <c r="BH10" s="260">
        <f>IF(ISNUMBER(((Datos!L10/Datos!K10)*11)/factor_trimestre),((Datos!L10/Datos!K10)*11)/factor_trimestre," - ")</f>
        <v>5.4137931034482758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0.13793103448275862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126</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-0.19917012448132779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194</v>
      </c>
      <c r="G13" s="898">
        <f t="shared" si="0"/>
        <v>194</v>
      </c>
      <c r="H13" s="899">
        <f t="shared" si="0"/>
        <v>0</v>
      </c>
      <c r="I13" s="898">
        <f t="shared" si="0"/>
        <v>0</v>
      </c>
      <c r="J13" s="867">
        <f t="shared" si="0"/>
        <v>0</v>
      </c>
      <c r="K13" s="867">
        <f t="shared" si="0"/>
        <v>0</v>
      </c>
      <c r="L13" s="899">
        <f t="shared" si="0"/>
        <v>0</v>
      </c>
      <c r="M13" s="899">
        <f t="shared" si="0"/>
        <v>0</v>
      </c>
      <c r="N13" s="899">
        <f t="shared" si="0"/>
        <v>181</v>
      </c>
      <c r="O13" s="900">
        <f t="shared" si="0"/>
        <v>0</v>
      </c>
      <c r="P13" s="900">
        <f t="shared" si="0"/>
        <v>0</v>
      </c>
      <c r="Q13" s="899">
        <f t="shared" si="0"/>
        <v>937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87</v>
      </c>
      <c r="AC13" s="899">
        <f t="shared" si="1"/>
        <v>631</v>
      </c>
      <c r="AD13" s="899">
        <f t="shared" si="1"/>
        <v>0</v>
      </c>
      <c r="AE13" s="899">
        <f t="shared" si="1"/>
        <v>0</v>
      </c>
      <c r="AF13" s="899">
        <f t="shared" si="1"/>
        <v>157</v>
      </c>
      <c r="AG13" s="899">
        <f t="shared" si="1"/>
        <v>0</v>
      </c>
      <c r="AH13" s="899">
        <f t="shared" si="1"/>
        <v>276</v>
      </c>
      <c r="AI13" s="899">
        <f t="shared" si="1"/>
        <v>0</v>
      </c>
      <c r="AJ13" s="899">
        <f t="shared" si="1"/>
        <v>0</v>
      </c>
      <c r="AK13" s="899">
        <f t="shared" si="1"/>
        <v>0</v>
      </c>
      <c r="AL13" s="899">
        <f t="shared" si="1"/>
        <v>0</v>
      </c>
      <c r="AM13" s="899">
        <f t="shared" si="1"/>
        <v>10754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1060</v>
      </c>
      <c r="BD13" s="899">
        <f t="shared" si="1"/>
        <v>2344</v>
      </c>
      <c r="BE13" s="899">
        <f t="shared" si="1"/>
        <v>0</v>
      </c>
      <c r="BF13" s="899">
        <f t="shared" si="1"/>
        <v>0</v>
      </c>
      <c r="BG13" s="899">
        <f>IF(ISNUMBER(Datos!K13/Datos!J13),Datos!K13/Datos!J13," - ")</f>
        <v>0.79491833030852999</v>
      </c>
      <c r="BH13" s="903">
        <f>IF(ISNUMBER(((Datos!L13/Datos!K13)*11)/factor_trimestre),((Datos!L13/Datos!K13)*11)/factor_trimestre," - ")</f>
        <v>8.474124809741248</v>
      </c>
      <c r="BI13" s="899">
        <f>IF(ISNUMBER('Resol  Asuntos'!D13/NºAsuntos!G13),'Resol  Asuntos'!D13/NºAsuntos!G13," - ")</f>
        <v>0.25721912157243387</v>
      </c>
      <c r="BJ13" s="899" t="str">
        <f>IF(ISNUMBER(Datos!CI13/Datos!CJ13),Datos!CI13/Datos!CJ13," - ")</f>
        <v xml:space="preserve"> - </v>
      </c>
      <c r="BK13" s="899">
        <f>SUBTOTAL(9,BK8:BK12)</f>
        <v>0</v>
      </c>
      <c r="BL13" s="899">
        <f>IF(ISNUMBER((I13-AB13+L13)/(F13)),(I13-AB13+L13)/(F13)," - ")</f>
        <v>-0.4484536082474227</v>
      </c>
      <c r="BM13" s="904">
        <f>SUBTOTAL(9,BM9:BM12)</f>
        <v>-1.579397690456627E-2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2715</v>
      </c>
      <c r="G15" s="598">
        <f>IF(ISNUMBER(IF(D_I="SI",Datos!I15,Datos!I15+Datos!AC15)),IF(D_I="SI",Datos!I15,Datos!I15+Datos!AC15)," - ")</f>
        <v>2703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2318</v>
      </c>
      <c r="AC15" s="226">
        <f>IF(ISNUMBER(Datos!Q15),Datos!Q15," - ")</f>
        <v>103</v>
      </c>
      <c r="AD15" s="334"/>
      <c r="AE15" s="484"/>
      <c r="AF15" s="596">
        <f>IF(ISNUMBER(IF(D_I="SI",Datos!L15,Datos!L15+Datos!AF15)),IF(D_I="SI",Datos!L15,Datos!L15+Datos!AF15)," - ")</f>
        <v>2759</v>
      </c>
      <c r="AG15" s="334"/>
      <c r="AH15" s="334"/>
      <c r="AI15" s="334"/>
      <c r="AJ15" s="334"/>
      <c r="AK15" s="334"/>
      <c r="AL15" s="479"/>
      <c r="AM15" s="335">
        <f>IF(ISNUMBER(Datos!R15),Datos!R15," - ")</f>
        <v>370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419</v>
      </c>
      <c r="BD15" s="229">
        <f>IF(ISNUMBER(Datos!N15),Datos!N15," - ")</f>
        <v>1509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0.98137171888230312</v>
      </c>
      <c r="BH15" s="260">
        <f>IF(ISNUMBER(((IF(D_I="SI",Datos!L15/Datos!K15,(Datos!L15+Datos!AF15)/(Datos!K15+Datos!AE15)))*11)/factor_trimestre),((IF(D_I="SI",Datos!L15/Datos!K15,(Datos!L15+Datos!AF15)/(Datos!K15+Datos!AE15)))*11)/factor_trimestre," - ")</f>
        <v>3.5707506471095773</v>
      </c>
      <c r="BI15" s="243">
        <f>IF(ISNUMBER('Resol  Asuntos'!D15/NºAsuntos!G15),'Resol  Asuntos'!D15/NºAsuntos!G15," - ")</f>
        <v>0.1807592752372735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113</v>
      </c>
      <c r="AC17" s="226">
        <f>IF(ISNUMBER(Datos!Q17),Datos!Q17," - ")</f>
        <v>12</v>
      </c>
      <c r="AD17" s="334"/>
      <c r="AE17" s="484"/>
      <c r="AF17" s="332">
        <f>IF(ISNUMBER(Datos!L17),Datos!L17,"-")</f>
        <v>159</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0.93388429752066116</v>
      </c>
      <c r="BH17" s="260">
        <f>IF(ISNUMBER(((IF(D_I="SI",Datos!L17/Datos!K17,(Datos!L17+Datos!AF17)/(Datos!K17+Datos!AE17)))*11)/factor_trimestre),((IF(D_I="SI",Datos!L17/Datos!K17,(Datos!L17+Datos!AF17)/(Datos!K17+Datos!AE17)))*11)/factor_trimestre," - ")</f>
        <v>4.2212389380530979</v>
      </c>
      <c r="BI17" s="243">
        <f>IF(ISNUMBER('Resol  Asuntos'!D17/NºAsuntos!G17),'Resol  Asuntos'!D17/NºAsuntos!G17," - ")</f>
        <v>0.5752212389380531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2718</v>
      </c>
      <c r="G18" s="898">
        <f>SUBTOTAL(9,G15:G17)</f>
        <v>2858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2431</v>
      </c>
      <c r="AC18" s="899">
        <f t="shared" si="4"/>
        <v>115</v>
      </c>
      <c r="AD18" s="899">
        <f t="shared" si="4"/>
        <v>0</v>
      </c>
      <c r="AE18" s="899">
        <f t="shared" si="4"/>
        <v>0</v>
      </c>
      <c r="AF18" s="899">
        <f t="shared" si="4"/>
        <v>2921</v>
      </c>
      <c r="AG18" s="899">
        <f t="shared" si="4"/>
        <v>0</v>
      </c>
      <c r="AH18" s="899">
        <f t="shared" si="4"/>
        <v>0</v>
      </c>
      <c r="AI18" s="899">
        <f t="shared" si="4"/>
        <v>0</v>
      </c>
      <c r="AJ18" s="899">
        <f t="shared" si="4"/>
        <v>0</v>
      </c>
      <c r="AK18" s="899">
        <f t="shared" si="4"/>
        <v>0</v>
      </c>
      <c r="AL18" s="899">
        <f t="shared" si="4"/>
        <v>0</v>
      </c>
      <c r="AM18" s="899">
        <f t="shared" si="4"/>
        <v>401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484</v>
      </c>
      <c r="BD18" s="899">
        <f t="shared" si="4"/>
        <v>1558</v>
      </c>
      <c r="BE18" s="899">
        <f t="shared" si="4"/>
        <v>0</v>
      </c>
      <c r="BF18" s="899">
        <f t="shared" si="4"/>
        <v>0</v>
      </c>
      <c r="BG18" s="899">
        <f>IF(ISNUMBER(Datos!K18/Datos!J18),Datos!K18/Datos!J18," - ")</f>
        <v>0.97905759162303663</v>
      </c>
      <c r="BH18" s="903">
        <f>IF(ISNUMBER(((Datos!L18/Datos!K18)*11)/factor_trimestre),((Datos!L18/Datos!K18)*11)/factor_trimestre," - ")</f>
        <v>3.6046894282188404</v>
      </c>
      <c r="BI18" s="899">
        <f>SUBTOTAL(9,BI15:BI17)</f>
        <v>0.75598051417532663</v>
      </c>
      <c r="BJ18" s="899">
        <f>SUBTOTAL(9,BJ15:BJ17)</f>
        <v>0</v>
      </c>
      <c r="BK18" s="899">
        <f>SUBTOTAL(9,BK15:BK17)</f>
        <v>0</v>
      </c>
      <c r="BL18" s="899">
        <f>IF(ISNUMBER((I18-AB18+L18)/(F18)),(I18-AB18+L18)/(F18)," - ")</f>
        <v>-0.89440765268579836</v>
      </c>
      <c r="BM18" s="905">
        <f>IF(ISNUMBER((Datos!P18-Datos!Q18)/(Datos!R18-Datos!P18+Datos!Q18)),(Datos!P18-Datos!Q18)/(Datos!R18-Datos!P18+Datos!Q18)," - ")</f>
        <v>-5.4245283018867926E-2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2912</v>
      </c>
      <c r="G19" s="820">
        <f t="shared" si="6"/>
        <v>3052</v>
      </c>
      <c r="H19" s="822">
        <f t="shared" si="6"/>
        <v>0</v>
      </c>
      <c r="I19" s="820">
        <f t="shared" si="6"/>
        <v>0</v>
      </c>
      <c r="J19" s="822">
        <f t="shared" si="6"/>
        <v>0</v>
      </c>
      <c r="K19" s="822">
        <f t="shared" si="6"/>
        <v>0</v>
      </c>
      <c r="L19" s="881">
        <f t="shared" si="6"/>
        <v>0</v>
      </c>
      <c r="M19" s="881">
        <f t="shared" si="6"/>
        <v>0</v>
      </c>
      <c r="N19" s="881">
        <f t="shared" si="6"/>
        <v>181</v>
      </c>
      <c r="O19" s="881">
        <f t="shared" si="6"/>
        <v>0</v>
      </c>
      <c r="P19" s="881">
        <f t="shared" si="6"/>
        <v>0</v>
      </c>
      <c r="Q19" s="822">
        <f t="shared" si="6"/>
        <v>1029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2518</v>
      </c>
      <c r="AC19" s="821">
        <f t="shared" si="7"/>
        <v>746</v>
      </c>
      <c r="AD19" s="821">
        <f t="shared" si="7"/>
        <v>0</v>
      </c>
      <c r="AE19" s="821">
        <f t="shared" si="7"/>
        <v>0</v>
      </c>
      <c r="AF19" s="828">
        <f t="shared" si="7"/>
        <v>3078</v>
      </c>
      <c r="AG19" s="828">
        <f t="shared" si="7"/>
        <v>0</v>
      </c>
      <c r="AH19" s="828">
        <f t="shared" si="7"/>
        <v>276</v>
      </c>
      <c r="AI19" s="828">
        <f t="shared" si="7"/>
        <v>0</v>
      </c>
      <c r="AJ19" s="821">
        <f t="shared" si="7"/>
        <v>0</v>
      </c>
      <c r="AK19" s="828">
        <f t="shared" si="7"/>
        <v>0</v>
      </c>
      <c r="AL19" s="828">
        <f t="shared" si="7"/>
        <v>0</v>
      </c>
      <c r="AM19" s="828">
        <f t="shared" si="7"/>
        <v>11155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1544</v>
      </c>
      <c r="BD19" s="820">
        <f t="shared" si="7"/>
        <v>3902</v>
      </c>
      <c r="BE19" s="820">
        <f t="shared" si="7"/>
        <v>0</v>
      </c>
      <c r="BF19" s="830">
        <f t="shared" si="7"/>
        <v>0</v>
      </c>
      <c r="BG19" s="915">
        <f>IF(ISNUMBER(Datos!K19/Datos!J19),Datos!K19/Datos!J19," - ")</f>
        <v>0.85635581832840635</v>
      </c>
      <c r="BH19" s="915">
        <f>IF(ISNUMBER(((Datos!L19/Datos!K19)*11)/factor_trimestre),((Datos!L19/Datos!K19)*11)/factor_trimestre," - ")</f>
        <v>6.6166640514671275</v>
      </c>
      <c r="BI19" s="813">
        <f>IF(ISNUMBER(Datos!J19/Datos!I19),Datos!J19/Datos!I19," - ")</f>
        <v>0.57321112223677118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-0.86469780219780223</v>
      </c>
      <c r="BM19" s="889">
        <f>IF(ISNUMBER((Datos!P19-Datos!Q19+R19)/(Datos!R19-Datos!P19+Datos!Q19-R19)),(Datos!P19-Datos!Q19+R19)/(Datos!R19-Datos!P19+Datos!Q19-R19)," - ")</f>
        <v>2.6030169242089771E-2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1017.3333333333334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1418.6467847917606</v>
      </c>
      <c r="G21" s="552">
        <f>IF(ISNUMBER(STDEV(G8:G18)),STDEV(G8:G18),"-")</f>
        <v>1368.4048621174461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1190.2864641197373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452.90585587483224</v>
      </c>
      <c r="BD21" s="551"/>
      <c r="BE21" s="551">
        <f>IF(ISNUMBER(STDEV(BE8:BE18)),STDEV(BE8:BE18),"-")</f>
        <v>0</v>
      </c>
      <c r="BF21" s="556">
        <f>IF(ISNUMBER(STDEV(BF8:BF18)),STDEV(BF8:BF18),"-")</f>
        <v>0</v>
      </c>
      <c r="BG21" s="775">
        <f>IF(ISNUMBER(STDEV(BG8:BG18)),STDEV(BG8:BG18),"-")</f>
        <v>0.35486917052649219</v>
      </c>
      <c r="BH21" s="776">
        <f>IF(ISNUMBER(STDEV(BH8:BH18)),STDEV(BH8:BH18),"-")</f>
        <v>2.2787820301013726</v>
      </c>
      <c r="BI21" s="249">
        <f>IF(ISNUMBER(STDEV(BI8:BI18)),STDEV(BI8:BI18),"-")</f>
        <v>0.2700135816982483</v>
      </c>
      <c r="BJ21" s="230" t="str">
        <f>IF(ISNUMBER(BL21/BM21),BL21/BM21," - ")</f>
        <v xml:space="preserve"> - </v>
      </c>
      <c r="BK21" s="575"/>
      <c r="BL21" s="559">
        <f>IF(ISNUMBER(STDEV(BL8:BL18)),STDEV(BL8:BL18),"-")</f>
        <v>0.31533712891994214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1pOXWYPwb10sGo0MPz0wiTSFmXiNs5hUyeD6fKJncj+OhwKISbHTdVlOzdZLyDNOlnx3lSqvjiRn1nCRL/vaw==" saltValue="8kulyo+US414LIvfMBNp7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TELDE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912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474</v>
      </c>
      <c r="AA9" s="332" t="str">
        <f>IF(ISNUMBER(IF(J_V="SI",Datos!L9,Datos!L9+Datos!AB9)-IF(Monitorios="SI",Datos!CD9,0)),
                          IF(J_V="SI",Datos!L9,Datos!L9+Datos!AB9)-IF(Monitorios="SI",Datos!CD9,0),
                          " - ")</f>
        <v xml:space="preserve"> - </v>
      </c>
      <c r="AB9" s="334"/>
      <c r="AC9" s="334"/>
      <c r="AD9" s="484"/>
      <c r="AE9" s="484">
        <f>IF(ISNUMBER(Datos!R9),Datos!R9," - ")</f>
        <v>10076</v>
      </c>
      <c r="AF9" s="229" t="str">
        <f>IF(ISNUMBER(Datos!BV9),Datos!BV9," - ")</f>
        <v xml:space="preserve"> - </v>
      </c>
      <c r="AG9" s="225" t="str">
        <f>IF(ISNUMBER(Datos!DV9),Datos!DV9," - ")</f>
        <v xml:space="preserve"> - </v>
      </c>
      <c r="AH9" s="298"/>
      <c r="AI9" s="227"/>
      <c r="AJ9" s="225">
        <f>IF(ISNUMBER(Datos!M9),Datos!M9," - ")</f>
        <v>1044</v>
      </c>
      <c r="AK9" s="229">
        <f>IF(ISNUMBER(Datos!N9),Datos!N9," - ")</f>
        <v>2187</v>
      </c>
      <c r="AL9" s="229" t="str">
        <f>IF(ISNUMBER(Datos!BW9),Datos!BW9," - ")</f>
        <v xml:space="preserve"> - </v>
      </c>
      <c r="AM9" s="228" t="str">
        <f>IF(ISNUMBER(Datos!BX9),Datos!BX9," - ")</f>
        <v xml:space="preserve"> - </v>
      </c>
      <c r="AN9" s="243"/>
      <c r="AO9" s="260">
        <f>IF(ISNUMBER(((NºAsuntos!I9/NºAsuntos!G9)*11)/factor_trimestre),((NºAsuntos!I9/NºAsuntos!G9)*11)/factor_trimestre," - ")</f>
        <v>8.3693604362915224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4.5445113094002905E-2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194</v>
      </c>
      <c r="G10" s="225">
        <f>IF(ISNUMBER(Datos!I10),Datos!I10," - ")</f>
        <v>194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87</v>
      </c>
      <c r="Z10" s="619">
        <f>IF(ISNUMBER(Datos!Q10),Datos!Q10," - ")</f>
        <v>13</v>
      </c>
      <c r="AA10" s="332">
        <f>IF(ISNUMBER(Datos!L10),Datos!L10,"-")</f>
        <v>157</v>
      </c>
      <c r="AB10" s="334"/>
      <c r="AC10" s="334"/>
      <c r="AD10" s="484"/>
      <c r="AE10" s="484">
        <f>IF(ISNUMBER(Datos!R10),Datos!R10," - ")</f>
        <v>99</v>
      </c>
      <c r="AF10" s="229" t="str">
        <f>IF(ISNUMBER(Datos!BV10),Datos!BV10," - ")</f>
        <v xml:space="preserve"> - </v>
      </c>
      <c r="AG10" s="225" t="str">
        <f>IF(ISNUMBER(Datos!DV10),Datos!DV10," - ")</f>
        <v xml:space="preserve"> - </v>
      </c>
      <c r="AH10" s="298"/>
      <c r="AI10" s="227"/>
      <c r="AJ10" s="225">
        <f>IF(ISNUMBER(Datos!M10),Datos!M10," - ")</f>
        <v>16</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5.4137931034482758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0.13793103448275862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144</v>
      </c>
      <c r="AA12" s="332" t="str">
        <f>IF(ISNUMBER(IF(J_V="SI",Datos!L12,Datos!L12+Datos!AB12)-IF(Monitorios="SI",Datos!CD12,0)),
                          IF(J_V="SI",Datos!L12,Datos!L12+Datos!AB12)-IF(Monitorios="SI",Datos!CD12,0),
                          " - ")</f>
        <v xml:space="preserve"> - </v>
      </c>
      <c r="AB12" s="334"/>
      <c r="AC12" s="334"/>
      <c r="AD12" s="484"/>
      <c r="AE12" s="484">
        <f>IF(ISNUMBER(Datos!R12),Datos!R12," - ")</f>
        <v>579</v>
      </c>
      <c r="AF12" s="229" t="str">
        <f>IF(ISNUMBER(Datos!BV12),Datos!BV12," - ")</f>
        <v xml:space="preserve"> - </v>
      </c>
      <c r="AG12" s="225" t="str">
        <f>IF(ISNUMBER(Datos!DV12),Datos!DV12," - ")</f>
        <v xml:space="preserve"> - </v>
      </c>
      <c r="AH12" s="298"/>
      <c r="AI12" s="227"/>
      <c r="AJ12" s="225">
        <f>IF(ISNUMBER(Datos!M12),Datos!M12," - ")</f>
        <v>0</v>
      </c>
      <c r="AK12" s="229">
        <f>IF(ISNUMBER(Datos!N12),Datos!N12," - ")</f>
        <v>126</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-0.19917012448132779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194</v>
      </c>
      <c r="G13" s="898">
        <f>SUBTOTAL(9,G8:G12)</f>
        <v>194</v>
      </c>
      <c r="H13" s="908"/>
      <c r="I13" s="898">
        <f t="shared" ref="I13:N13" si="0">SUBTOTAL(9,I8:I12)</f>
        <v>0</v>
      </c>
      <c r="J13" s="867">
        <f t="shared" si="0"/>
        <v>0</v>
      </c>
      <c r="K13" s="908">
        <f t="shared" si="0"/>
        <v>0</v>
      </c>
      <c r="L13" s="908">
        <f t="shared" si="0"/>
        <v>0</v>
      </c>
      <c r="M13" s="908">
        <f t="shared" si="0"/>
        <v>0</v>
      </c>
      <c r="N13" s="908">
        <f t="shared" si="0"/>
        <v>937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87</v>
      </c>
      <c r="Z13" s="907">
        <f t="shared" si="2"/>
        <v>631</v>
      </c>
      <c r="AA13" s="900">
        <f t="shared" si="2"/>
        <v>157</v>
      </c>
      <c r="AB13" s="900">
        <f t="shared" si="2"/>
        <v>0</v>
      </c>
      <c r="AC13" s="900">
        <f t="shared" si="2"/>
        <v>0</v>
      </c>
      <c r="AD13" s="900">
        <f t="shared" si="2"/>
        <v>0</v>
      </c>
      <c r="AE13" s="900">
        <f t="shared" si="2"/>
        <v>10754</v>
      </c>
      <c r="AF13" s="908">
        <f t="shared" si="2"/>
        <v>0</v>
      </c>
      <c r="AG13" s="908">
        <f t="shared" si="2"/>
        <v>0</v>
      </c>
      <c r="AH13" s="908">
        <f t="shared" si="2"/>
        <v>0</v>
      </c>
      <c r="AI13" s="908">
        <f t="shared" si="2"/>
        <v>0</v>
      </c>
      <c r="AJ13" s="908">
        <f t="shared" si="2"/>
        <v>1060</v>
      </c>
      <c r="AK13" s="908">
        <f t="shared" si="2"/>
        <v>2344</v>
      </c>
      <c r="AL13" s="908">
        <f t="shared" si="2"/>
        <v>0</v>
      </c>
      <c r="AM13" s="908">
        <f t="shared" si="2"/>
        <v>0</v>
      </c>
      <c r="AN13" s="908">
        <f t="shared" si="2"/>
        <v>0</v>
      </c>
      <c r="AO13" s="904">
        <f>IF(ISNUMBER(((NºAsuntos!I13/NºAsuntos!G13)*11)/factor_trimestre),((NºAsuntos!I13/NºAsuntos!G13)*11)/factor_trimestre," - ")</f>
        <v>8.3069643290463482</v>
      </c>
      <c r="AP13" s="910" t="str">
        <f>IF(ISNUMBER(Datos!CI13/Datos!CJ13),Datos!CI13/Datos!CJ13," - ")</f>
        <v xml:space="preserve"> - </v>
      </c>
      <c r="AQ13" s="928">
        <f t="shared" ref="AQ13:AV13" si="3">SUBTOTAL(9,AQ9:AQ12)</f>
        <v>0</v>
      </c>
      <c r="AR13" s="928">
        <f t="shared" si="3"/>
        <v>-1.579397690456627E-2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2715</v>
      </c>
      <c r="G15" s="225">
        <f>IF(ISNUMBER(IF(D_I="SI",Datos!I15,Datos!I15+Datos!AC15)),IF(D_I="SI",Datos!I15,Datos!I15+Datos!AC15)," - ")</f>
        <v>2703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2318</v>
      </c>
      <c r="Z15" s="619">
        <f>IF(ISNUMBER(Datos!Q15),Datos!Q15," - ")</f>
        <v>103</v>
      </c>
      <c r="AA15" s="332">
        <f>IF(ISNUMBER(IF(D_I="SI",Datos!L15,Datos!L15+Datos!AF15)),IF(D_I="SI",Datos!L15,Datos!L15+Datos!AF15)," - ")</f>
        <v>2759</v>
      </c>
      <c r="AB15" s="334"/>
      <c r="AC15" s="334"/>
      <c r="AD15" s="484"/>
      <c r="AE15" s="484">
        <f>IF(ISNUMBER(Datos!R15),Datos!R15," - ")</f>
        <v>370</v>
      </c>
      <c r="AF15" s="229" t="str">
        <f>IF(ISNUMBER(Datos!BV15),Datos!BV15," - ")</f>
        <v xml:space="preserve"> - </v>
      </c>
      <c r="AG15" s="225"/>
      <c r="AH15" s="298"/>
      <c r="AI15" s="227"/>
      <c r="AJ15" s="225">
        <f>IF(ISNUMBER(Datos!M15),Datos!M15," - ")</f>
        <v>419</v>
      </c>
      <c r="AK15" s="229">
        <f>IF(ISNUMBER(Datos!N15),Datos!N15," - ")</f>
        <v>1509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3.5707506471095773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113</v>
      </c>
      <c r="Z17" s="619">
        <f>IF(ISNUMBER(Datos!Q17),Datos!Q17," - ")</f>
        <v>12</v>
      </c>
      <c r="AA17" s="332">
        <f>IF(ISNUMBER(Datos!L17),Datos!L17,"-")</f>
        <v>159</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65</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4.2212389380530979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2718</v>
      </c>
      <c r="G18" s="898">
        <f>SUBTOTAL(9,G15:G17)</f>
        <v>2858</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2431</v>
      </c>
      <c r="Z18" s="932">
        <f t="shared" si="5"/>
        <v>115</v>
      </c>
      <c r="AA18" s="932">
        <f t="shared" si="5"/>
        <v>2921</v>
      </c>
      <c r="AB18" s="932">
        <f t="shared" si="5"/>
        <v>0</v>
      </c>
      <c r="AC18" s="932">
        <f t="shared" si="5"/>
        <v>0</v>
      </c>
      <c r="AD18" s="932">
        <f t="shared" si="5"/>
        <v>0</v>
      </c>
      <c r="AE18" s="932">
        <f t="shared" si="5"/>
        <v>401</v>
      </c>
      <c r="AF18" s="932">
        <f t="shared" si="5"/>
        <v>0</v>
      </c>
      <c r="AG18" s="932">
        <f t="shared" si="5"/>
        <v>0</v>
      </c>
      <c r="AH18" s="932">
        <f t="shared" si="5"/>
        <v>0</v>
      </c>
      <c r="AI18" s="932">
        <f t="shared" si="5"/>
        <v>0</v>
      </c>
      <c r="AJ18" s="932">
        <f t="shared" si="5"/>
        <v>484</v>
      </c>
      <c r="AK18" s="932">
        <f t="shared" si="5"/>
        <v>1558</v>
      </c>
      <c r="AL18" s="932">
        <f t="shared" si="5"/>
        <v>0</v>
      </c>
      <c r="AM18" s="932">
        <f t="shared" si="5"/>
        <v>0</v>
      </c>
      <c r="AN18" s="932">
        <f t="shared" si="5"/>
        <v>0</v>
      </c>
      <c r="AO18" s="934">
        <f>IF(ISNUMBER(((NºAsuntos!I18/NºAsuntos!G18)*11)/factor_trimestre),((NºAsuntos!I18/NºAsuntos!G18)*11)/factor_trimestre," - ")</f>
        <v>3.6046894282188404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2912</v>
      </c>
      <c r="G19" s="820">
        <f t="shared" si="7"/>
        <v>3052</v>
      </c>
      <c r="H19" s="821">
        <f t="shared" si="7"/>
        <v>0</v>
      </c>
      <c r="I19" s="820">
        <f t="shared" si="7"/>
        <v>0</v>
      </c>
      <c r="J19" s="822">
        <f t="shared" si="7"/>
        <v>0</v>
      </c>
      <c r="K19" s="820">
        <f t="shared" si="7"/>
        <v>0</v>
      </c>
      <c r="L19" s="823">
        <f t="shared" si="7"/>
        <v>0</v>
      </c>
      <c r="M19" s="820">
        <f t="shared" si="7"/>
        <v>0</v>
      </c>
      <c r="N19" s="821">
        <f t="shared" si="7"/>
        <v>1029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2518</v>
      </c>
      <c r="Z19" s="827">
        <f t="shared" si="8"/>
        <v>746</v>
      </c>
      <c r="AA19" s="828">
        <f t="shared" si="8"/>
        <v>3078</v>
      </c>
      <c r="AB19" s="828">
        <f t="shared" si="8"/>
        <v>0</v>
      </c>
      <c r="AC19" s="828">
        <f t="shared" si="8"/>
        <v>0</v>
      </c>
      <c r="AD19" s="829">
        <f t="shared" si="8"/>
        <v>0</v>
      </c>
      <c r="AE19" s="829">
        <f t="shared" si="8"/>
        <v>11155</v>
      </c>
      <c r="AF19" s="830">
        <f t="shared" si="8"/>
        <v>0</v>
      </c>
      <c r="AG19" s="831">
        <f t="shared" si="8"/>
        <v>0</v>
      </c>
      <c r="AH19" s="832">
        <f t="shared" si="8"/>
        <v>0</v>
      </c>
      <c r="AI19" s="830">
        <f t="shared" si="8"/>
        <v>0</v>
      </c>
      <c r="AJ19" s="820">
        <f t="shared" si="8"/>
        <v>1544</v>
      </c>
      <c r="AK19" s="820">
        <f t="shared" si="8"/>
        <v>3902</v>
      </c>
      <c r="AL19" s="820">
        <f t="shared" si="8"/>
        <v>0</v>
      </c>
      <c r="AM19" s="833">
        <f t="shared" si="8"/>
        <v>0</v>
      </c>
      <c r="AN19" s="823">
        <f>IF(ISNUMBER(Datos!K19/Datos!J19),Datos!K19/Datos!J19," - ")</f>
        <v>0.85635581832840635</v>
      </c>
      <c r="AO19" s="823">
        <f>IF(ISNUMBER(FIND("06",Criterios!A8,1)),(IF(ISNUMBER(((Datos!R19/Datos!Q19)*11)/factor_trimestre),((Datos!R19/Datos!Q19)*11)/factor_trimestre," - ")),(IF(ISNUMBER(((Datos!L19/Datos!K19)*11)/factor_trimestre),((Datos!L19/Datos!K19)*11)/factor_trimestre," - ")))</f>
        <v>6.6166640514671275</v>
      </c>
      <c r="AP19" s="834" t="str">
        <f>IF(ISNUMBER(Datos!CI19/Datos!CJ19),Datos!CI19/Datos!CJ19," - ")</f>
        <v xml:space="preserve"> - </v>
      </c>
      <c r="AQ19" s="834">
        <f>IF(OR(ISNUMBER(FIND("01",Criterios!A8,1)),ISNUMBER(FIND("02",Criterios!A8,1)),ISNUMBER(FIND("03",Criterios!A8,1)),ISNUMBER(FIND("04",Criterios!A8,1))),(J19-Y19+K19)/(F19-K19),(I19-Y19+K19)/(F19-K19))</f>
        <v>-0.86469780219780223</v>
      </c>
      <c r="AR19" s="834">
        <f>IF(ISNUMBER((Datos!P19-Datos!Q19+O19)/(Datos!R19-Datos!P19+Datos!Q19-O19)),(Datos!P19-Datos!Q19+O19)/(Datos!R19-Datos!P19+Datos!Q19-O19)," - ")</f>
        <v>2.6030169242089771E-2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1017.3333333333334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1418.6467847917606</v>
      </c>
      <c r="G21" s="552">
        <f>IF(ISNUMBER(STDEV(G8:G18)),STDEV(G8:G18),"-")</f>
        <v>1368.4048621174461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452.90585587483224</v>
      </c>
      <c r="AK21" s="252"/>
      <c r="AL21" s="252">
        <f>IF(ISNUMBER(STDEV(AL8:AL18)),STDEV(AL8:AL18),"-")</f>
        <v>0</v>
      </c>
      <c r="AM21" s="254">
        <f>IF(ISNUMBER(STDEV(AM8:AM18)),STDEV(AM8:AM18),"-")</f>
        <v>0</v>
      </c>
      <c r="AN21" s="539">
        <f>IF(ISNUMBER(STDEV(AN8:AN18)),STDEV(AN8:AN18),"-")</f>
        <v>0</v>
      </c>
      <c r="AO21" s="540">
        <f>IF(ISNUMBER(STDEV(AO8:AO18)),STDEV(AO8:AO18),"-")</f>
        <v>2.2373935536174154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CZdx2ND/wcMbXD7TyJzgff/6EgpCW04Y0uHFAnEjxQId2IOH1y5kSsK/Nycs7XuDo5WwqZcuRloxcwxkY95fg==" saltValue="k4TEK1y1yzPJ7GJrguca5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ZKEYhwpm8mCFtpHdNJwdEH3InVhu6AAfYd9ATqtVaDUX0+VsbXwWBU8fbxa0sGmfFAxeeujWf1s+V2F4tQ33g==" saltValue="krUI0Ncy77zLeHotQq36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pTDevOJXRWKdPbPz8hiwEySvxlO01ljJJnK9dG8AqVK5jHJMtM3WY89xQAQ3LTnaXr0LfvDGsr8S9DMk9/Ag==" saltValue="EvBgadNKhrgGxSmjMol/B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0.25721912157243387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0.18188138511471497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zyI5twRcR/9gHKpXdzYxkiLdvrrq1zsWIuXlIcxYmoNY5JDnvfxPfdN+oBLvRQ8f2hoizh1dN68YfgFgT/YEA==" saltValue="Fc2m+f9qfQh1++wxx1GJ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CAQ+UIF46wHg/p7wXxQfCI2L1K5cflMpZxfF3ONMx1HENyI9IwDtccA+i/6yD8bIuO+RFGxu4CxLHfvxIugYVQ==" saltValue="cFnbimmy/c11WmUM+EPC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TELDE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10205</v>
      </c>
      <c r="D9" s="404">
        <f>IF(ISNUMBER(C9/Datos!BH9),C9/Datos!BH9," - ")</f>
        <v>1700.8333333333333</v>
      </c>
      <c r="E9" s="403">
        <f>IF(ISNUMBER(IF(J_V="SI",Datos!J9,Datos!J9+Datos!Z9)),IF(J_V="SI",Datos!J9,Datos!J9+Datos!Z9)," - ")</f>
        <v>5090</v>
      </c>
      <c r="F9" s="404">
        <f>IF(ISNUMBER(E9/B9),E9/B9," - ")</f>
        <v>848.33333333333337</v>
      </c>
      <c r="G9" s="403">
        <f>IF(ISNUMBER(IF(J_V="SI",Datos!K9,Datos!K9+Datos!AA9)),IF(J_V="SI",Datos!K9,Datos!K9+Datos!AA9)," - ")</f>
        <v>4034</v>
      </c>
      <c r="H9" s="404">
        <f>IF(ISNUMBER(G9/B9),G9/B9," - ")</f>
        <v>672.33333333333337</v>
      </c>
      <c r="I9" s="403">
        <f>IF(ISNUMBER(IF(J_V="SI",Datos!L9,Datos!L9+Datos!AB9)),IF(J_V="SI",Datos!L9,Datos!L9+Datos!AB9)," - ")</f>
        <v>11254</v>
      </c>
      <c r="J9" s="404">
        <f>IF(ISNUMBER(I9/B9),I9/B9," - ")</f>
        <v>1875.6666666666667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194</v>
      </c>
      <c r="D10" s="404">
        <f>IF(ISNUMBER(C10/Datos!BH10),C10/Datos!BH10," - ")</f>
        <v>194</v>
      </c>
      <c r="E10" s="403">
        <f>IF(ISNUMBER(Datos!J10),Datos!J10," - ")</f>
        <v>50</v>
      </c>
      <c r="F10" s="404">
        <f>IF(ISNUMBER(E10/B10),E10/B10," - ")</f>
        <v>50</v>
      </c>
      <c r="G10" s="403">
        <f>IF(ISNUMBER(Datos!K10),Datos!K10," - ")</f>
        <v>87</v>
      </c>
      <c r="H10" s="404">
        <f>IF(ISNUMBER(G10/B10),G10/B10," - ")</f>
        <v>87</v>
      </c>
      <c r="I10" s="403">
        <f>IF(ISNUMBER(Datos!L10),Datos!L10," - ")</f>
        <v>157</v>
      </c>
      <c r="J10" s="404">
        <f>IF(ISNUMBER(I10/B10),I10/B10," - ")</f>
        <v>157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10399</v>
      </c>
      <c r="D13" s="850" t="str">
        <f>IF(ISNUMBER(C13/Datos!BI13),C13/Datos!BI13," - ")</f>
        <v xml:space="preserve"> - </v>
      </c>
      <c r="E13" s="849">
        <f>SUBTOTAL(9,E8:E12)</f>
        <v>5140</v>
      </c>
      <c r="F13" s="850">
        <f>IF(ISNUMBER(E13/B13),E13/B13," - ")</f>
        <v>856.66666666666663</v>
      </c>
      <c r="G13" s="849">
        <f>SUBTOTAL(9,G8:G12)</f>
        <v>4121</v>
      </c>
      <c r="H13" s="850">
        <f>IF(ISNUMBER(G13/B13),G13/B13," - ")</f>
        <v>686.83333333333337</v>
      </c>
      <c r="I13" s="849">
        <f>SUBTOTAL(9,I8:I12)</f>
        <v>11411</v>
      </c>
      <c r="J13" s="850">
        <f>IF(ISNUMBER(I13/B13),I13/B13," - ")</f>
        <v>1901.8333333333333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2703</v>
      </c>
      <c r="D15" s="404">
        <f>IF(ISNUMBER(C15/Datos!BH15),C15/Datos!BH15," - ")</f>
        <v>901</v>
      </c>
      <c r="E15" s="403">
        <f>IF(ISNUMBER(IF(D_I="SI",Datos!J15,Datos!J15+Datos!AD15)),IF(D_I="SI",Datos!J15,Datos!J15+Datos!AD15)," - ")</f>
        <v>2362</v>
      </c>
      <c r="F15" s="404">
        <f>IF(ISNUMBER(E15/B15),E15/B15," - ")</f>
        <v>787.33333333333337</v>
      </c>
      <c r="G15" s="403">
        <f>IF(ISNUMBER(IF(D_I="SI",Datos!K15,Datos!K15+Datos!AE15)),IF(D_I="SI",Datos!K15,Datos!K15+Datos!AE15)," - ")</f>
        <v>2318</v>
      </c>
      <c r="H15" s="404">
        <f>IF(ISNUMBER(G15/B15),G15/B15," - ")</f>
        <v>772.66666666666663</v>
      </c>
      <c r="I15" s="403">
        <f>IF(ISNUMBER(IF(D_I="SI",Datos!L15,Datos!L15+Datos!AF15)),IF(D_I="SI",Datos!L15,Datos!L15+Datos!AF15)," - ")</f>
        <v>2759</v>
      </c>
      <c r="J15" s="404">
        <f>IF(ISNUMBER(I15/B15),I15/B15," - ")</f>
        <v>919.66666666666663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4</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121</v>
      </c>
      <c r="F17" s="404">
        <f>IF(ISNUMBER(E17/B17),E17/B17," - ")</f>
        <v>121</v>
      </c>
      <c r="G17" s="403">
        <f>IF(ISNUMBER(IF(D_I="SI",Datos!K17,Datos!K17+Datos!AE17)),IF(D_I="SI",Datos!K17,Datos!K17+Datos!AE17)," - ")</f>
        <v>113</v>
      </c>
      <c r="H17" s="404">
        <f>IF(ISNUMBER(G17/B17),G17/B17," - ")</f>
        <v>113</v>
      </c>
      <c r="I17" s="403">
        <f>IF(ISNUMBER(IF(D_I="SI",Datos!L17,Datos!L17+Datos!AF17)),IF(D_I="SI",Datos!L17,Datos!L17+Datos!AF17)," - ")</f>
        <v>159</v>
      </c>
      <c r="J17" s="404">
        <f>IF(ISNUMBER(I17/B17),I17/B17," - ")</f>
        <v>159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2858</v>
      </c>
      <c r="D18" s="850" t="str">
        <f>IF(ISNUMBER(C18/Datos!BI18),C18/Datos!BI18," - ")</f>
        <v xml:space="preserve"> - </v>
      </c>
      <c r="E18" s="849">
        <f>SUBTOTAL(9,E14:E17)</f>
        <v>2483</v>
      </c>
      <c r="F18" s="850">
        <f>IF(ISNUMBER(E18/B18),E18/B18," - ")</f>
        <v>827.66666666666663</v>
      </c>
      <c r="G18" s="849">
        <f>SUBTOTAL(9,G14:G17)</f>
        <v>2431</v>
      </c>
      <c r="H18" s="850">
        <f>IF(ISNUMBER(G18/B18),G18/B18," - ")</f>
        <v>810.33333333333337</v>
      </c>
      <c r="I18" s="849">
        <f>SUBTOTAL(9,I14:I17)</f>
        <v>2921</v>
      </c>
      <c r="J18" s="850">
        <f>IF(ISNUMBER(I18/B18),I18/B18," - ")</f>
        <v>973.66666666666663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13257</v>
      </c>
      <c r="D19" s="795" t="str">
        <f>IF(ISNUMBER(C19/Datos!BI19),C19/Datos!BI19," - ")</f>
        <v xml:space="preserve"> - </v>
      </c>
      <c r="E19" s="794">
        <f>SUBTOTAL(9,E9:E18)</f>
        <v>7623</v>
      </c>
      <c r="F19" s="795">
        <f>IF(ISNUMBER(E19/B19),E19/B19," - ")</f>
        <v>847</v>
      </c>
      <c r="G19" s="794">
        <f>SUBTOTAL(9,G9:G18)</f>
        <v>6552</v>
      </c>
      <c r="H19" s="795">
        <f>IF(ISNUMBER(G19/B19),G19/B19," - ")</f>
        <v>728</v>
      </c>
      <c r="I19" s="794">
        <f>SUBTOTAL(9,I9:I18)</f>
        <v>14332</v>
      </c>
      <c r="J19" s="795">
        <f>IF(ISNUMBER(I19/B19),I19/B19," - ")</f>
        <v>1592.4444444444443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0v4XPKwYIghpeecNaU7ff5eZJAhLsl1TBEr8clDKyTkHSfiqkgrhous+Q+HDTCiTGoweARFGJyfP37LpNOWwg==" saltValue="faVZha67Z9FalSGO4UUv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TELDE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194</v>
      </c>
      <c r="G10" s="684">
        <f>IF(ISNUMBER(Datos!I10),Datos!I10," - ")</f>
        <v>194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87</v>
      </c>
      <c r="AC10" s="683" t="str">
        <f>IF(ISNUMBER(IF(D_I="SI",DatosP!K17,DatosP!K17+DatosP!AE17)),IF(D_I="SI",DatosP!K17,DatosP!K17+DatosP!AE17)," - ")</f>
        <v xml:space="preserve"> - </v>
      </c>
      <c r="AD10" s="685"/>
      <c r="AE10" s="685"/>
      <c r="AF10" s="688">
        <f>IF(ISNUMBER(Datos!L10),Datos!L10,"-")</f>
        <v>157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5.4137931034482758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126</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-0.19917012448132779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194</v>
      </c>
      <c r="G13" s="938">
        <f t="shared" si="0"/>
        <v>194</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87</v>
      </c>
      <c r="AC13" s="939">
        <f t="shared" si="1"/>
        <v>0</v>
      </c>
      <c r="AD13" s="939">
        <f t="shared" si="1"/>
        <v>144</v>
      </c>
      <c r="AE13" s="939">
        <f t="shared" si="1"/>
        <v>0</v>
      </c>
      <c r="AF13" s="939">
        <f t="shared" si="1"/>
        <v>157</v>
      </c>
      <c r="AG13" s="939">
        <f t="shared" si="1"/>
        <v>0</v>
      </c>
      <c r="AH13" s="939">
        <f t="shared" si="1"/>
        <v>579</v>
      </c>
      <c r="AI13" s="939">
        <f t="shared" si="1"/>
        <v>0</v>
      </c>
      <c r="AJ13" s="939">
        <f t="shared" si="1"/>
        <v>0</v>
      </c>
      <c r="AK13" s="939">
        <f t="shared" si="1"/>
        <v>0</v>
      </c>
      <c r="AL13" s="939">
        <f t="shared" si="1"/>
        <v>16</v>
      </c>
      <c r="AM13" s="939">
        <f t="shared" si="1"/>
        <v>157</v>
      </c>
      <c r="AN13" s="939">
        <f t="shared" si="1"/>
        <v>0</v>
      </c>
      <c r="AO13" s="939">
        <f t="shared" si="1"/>
        <v>0</v>
      </c>
      <c r="AP13" s="944">
        <f>IF(ISNUMBER(((Datos!L13/Datos!K13)*11)/factor_trimestre),((Datos!L13/Datos!K13)*11)/factor_trimestre," - ")</f>
        <v>8.474124809741248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-0.4484536082474227</v>
      </c>
      <c r="AU13" s="939" t="str">
        <f>IF(ISNUMBER((DatosP!#REF!-DatosP!#REF!+DatosP!#REF!)/(DatosP!#REF!+DatosP!#REF!-DatosP!#REF!-DatosP!#REF!)),(DatosP!#REF!-DatosP!#REF!+DatosP!#REF!)/(DatosP!#REF!+DatosP!#REF!-DatosP!#REF!-DatosP!#REF!)," - ")</f>
        <v xml:space="preserve"> - </v>
      </c>
      <c r="AV13" s="945">
        <f>SUBTOTAL(9,AV9:AV12)</f>
        <v>-0.19917012448132779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3.6046894282188404</v>
      </c>
      <c r="AQ18" s="944">
        <f>IF(ISNUMBER(((Datos!M18/Datos!L18)*11)/factor_trimestre),((Datos!M18/Datos!L18)*11)/factor_trimestre," - ")</f>
        <v>0.4970900376583362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-5.4245283018867926E-2</v>
      </c>
      <c r="AW18" s="946">
        <f>IF(ISNUMBER((Datos!Q18-Datos!R18)/(Datos!S18-Datos!Q18+Datos!R18)),(Datos!Q18-Datos!R18)/(Datos!S18-Datos!Q18+Datos!R18)," - ")</f>
        <v>-9.9930118798043324E-2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194</v>
      </c>
      <c r="G19" s="951">
        <f t="shared" si="4"/>
        <v>194</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87</v>
      </c>
      <c r="AC19" s="957">
        <f t="shared" si="5"/>
        <v>0</v>
      </c>
      <c r="AD19" s="957">
        <f t="shared" si="5"/>
        <v>144</v>
      </c>
      <c r="AE19" s="957">
        <f t="shared" si="5"/>
        <v>0</v>
      </c>
      <c r="AF19" s="958">
        <f t="shared" si="5"/>
        <v>157</v>
      </c>
      <c r="AG19" s="958">
        <f t="shared" si="5"/>
        <v>0</v>
      </c>
      <c r="AH19" s="958">
        <f t="shared" si="5"/>
        <v>579</v>
      </c>
      <c r="AI19" s="958">
        <f t="shared" si="5"/>
        <v>0</v>
      </c>
      <c r="AJ19" s="959">
        <f t="shared" si="5"/>
        <v>0</v>
      </c>
      <c r="AK19" s="959">
        <f t="shared" si="5"/>
        <v>0</v>
      </c>
      <c r="AL19" s="951">
        <f t="shared" si="5"/>
        <v>16</v>
      </c>
      <c r="AM19" s="951">
        <f t="shared" si="5"/>
        <v>157</v>
      </c>
      <c r="AN19" s="951">
        <f t="shared" si="5"/>
        <v>0</v>
      </c>
      <c r="AO19" s="951">
        <f t="shared" si="5"/>
        <v>0</v>
      </c>
      <c r="AP19" s="951">
        <f>IF(ISNUMBER(((Datos!L19/Datos!K19)*11)/factor_trimestre),((Datos!L19/Datos!K19)*11)/factor_trimestre," - ")</f>
        <v>6.6166640514671275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-0.4484536082474227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2.6030169242089771E-2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129.33333333333334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112.0059522227874</v>
      </c>
      <c r="G21" s="737">
        <f>IF(ISNUMBER(STDEV(G8:G18)),STDEV(G8:G18),"-")</f>
        <v>112.0059522227874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50.229473419497438</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2.4613643640297336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XPriV0XhbSTU+BgPgRsgMi/jElFEVpY0IHMdM7n1VCyrIT0nUB47gVcTDZdjHx5gqGeMaRQ4MEhbB+Vk1V9vA==" saltValue="MEa2dfKlKvGIlFKCWF/P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TELDE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aSHDwpdMmPmG+IvauaEbpBMjfYHY1u5Yp8WIyb9XoSSriT1opYUKvRvJgjt6kxn1HSLBrC39OV8f0S2MCXJtQ==" saltValue="8CwaVIzWML+FooVpZsAp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TELDE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1044</v>
      </c>
      <c r="E9" s="404">
        <f t="shared" ref="E9:E13" si="0">IF(ISNUMBER(D9/B9),D9/B9," - ")</f>
        <v>174</v>
      </c>
      <c r="F9" s="403">
        <f>IF(ISNUMBER(Datos!N9),Datos!N9," - ")</f>
        <v>2187</v>
      </c>
      <c r="G9" s="404">
        <f t="shared" ref="G9:G13" si="1">IF(ISNUMBER(F9/B9),F9/B9," - ")</f>
        <v>364.5</v>
      </c>
      <c r="H9" s="403">
        <f>IF(ISNUMBER(Datos!O9),Datos!O9," - ")</f>
        <v>1128</v>
      </c>
      <c r="I9" s="404">
        <f>IF(ISNUMBER(H9/B9),H9/B9," - ")</f>
        <v>188</v>
      </c>
      <c r="BZ9" s="1186">
        <f>Datos!EZ9</f>
        <v>0</v>
      </c>
    </row>
    <row r="10" spans="1:78">
      <c r="A10" s="402" t="str">
        <f>Datos!A10</f>
        <v>Jdos. Violencia contra la mujer</v>
      </c>
      <c r="B10" s="427">
        <f>Datos!AO10</f>
        <v>1</v>
      </c>
      <c r="C10" s="410">
        <f>Datos!AQ10</f>
        <v>0</v>
      </c>
      <c r="D10" s="403">
        <f>IF(ISNUMBER(Datos!M10),Datos!M10," - ")</f>
        <v>16</v>
      </c>
      <c r="E10" s="404">
        <f>IF(ISNUMBER(D10/B10),D10/B10," - ")</f>
        <v>16</v>
      </c>
      <c r="F10" s="403">
        <f>IF(ISNUMBER(Datos!N10),Datos!N10," - ")</f>
        <v>31</v>
      </c>
      <c r="G10" s="404">
        <f>IF(ISNUMBER(F10/B10),F10/B10," - ")</f>
        <v>31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126</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1060</v>
      </c>
      <c r="E13" s="850">
        <f t="shared" si="0"/>
        <v>176.66666666666666</v>
      </c>
      <c r="F13" s="849">
        <f>SUBTOTAL(9,F9:F12)</f>
        <v>2344</v>
      </c>
      <c r="G13" s="850">
        <f t="shared" si="1"/>
        <v>390.66666666666669</v>
      </c>
      <c r="H13" s="849">
        <f>SUBTOTAL(9,H9:H12)</f>
        <v>1128</v>
      </c>
      <c r="I13" s="850">
        <f>IF(ISNUMBER(H13/B13),H13/B13," - ")</f>
        <v>188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419</v>
      </c>
      <c r="E15" s="404">
        <f t="shared" ref="E15:E18" si="3">IF(ISNUMBER(D15/B15),D15/B15," - ")</f>
        <v>139.66666666666666</v>
      </c>
      <c r="F15" s="403">
        <f>IF(ISNUMBER(Datos!N15),Datos!N15," - ")</f>
        <v>1509</v>
      </c>
      <c r="G15" s="404">
        <f t="shared" ref="G15:G18" si="4">IF(ISNUMBER(F15/B15),F15/B15," - ")</f>
        <v>503</v>
      </c>
      <c r="H15" s="403">
        <f>IF(ISNUMBER(Datos!O15),Datos!O15," - ")</f>
        <v>26</v>
      </c>
      <c r="I15" s="404">
        <f t="shared" ref="I15:I17" si="5">IF(ISNUMBER(H15/B15),H15/B15," - ")</f>
        <v>8.6666666666666661</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65</v>
      </c>
      <c r="E17" s="404">
        <f>IF(ISNUMBER(D17/B17),D17/B17," - ")</f>
        <v>65</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484</v>
      </c>
      <c r="E18" s="850">
        <f t="shared" si="3"/>
        <v>161.33333333333334</v>
      </c>
      <c r="F18" s="849">
        <f>SUBTOTAL(9,F15:F17)</f>
        <v>1558</v>
      </c>
      <c r="G18" s="850">
        <f t="shared" si="4"/>
        <v>519.33333333333337</v>
      </c>
      <c r="H18" s="849">
        <f>SUBTOTAL(9,H15:H17)</f>
        <v>26</v>
      </c>
      <c r="I18" s="850">
        <f>IF(ISNUMBER(H18/B18),H18/B18," - ")</f>
        <v>8.6666666666666661</v>
      </c>
      <c r="BZ18" s="1186"/>
    </row>
    <row r="19" spans="1:78" ht="14.25" thickTop="1" thickBot="1">
      <c r="A19" s="793" t="str">
        <f>Datos!A19</f>
        <v>TOTAL JURISDICCIONES</v>
      </c>
      <c r="B19" s="794">
        <f>Datos!AP19</f>
        <v>9</v>
      </c>
      <c r="C19" s="794">
        <f>Datos!AR19</f>
        <v>9</v>
      </c>
      <c r="D19" s="794">
        <f>SUBTOTAL(9,D8:D18)</f>
        <v>1544</v>
      </c>
      <c r="E19" s="795">
        <f>IF(ISNUMBER(D19/B19),D19/B19," - ")</f>
        <v>171.55555555555554</v>
      </c>
      <c r="F19" s="794">
        <f>SUBTOTAL(9,F8:F18)</f>
        <v>3902</v>
      </c>
      <c r="G19" s="795">
        <f>IF(ISNUMBER(F19/B19),F19/B19," - ")</f>
        <v>433.55555555555554</v>
      </c>
      <c r="H19" s="794">
        <f>SUBTOTAL(9,H8:H18)</f>
        <v>1154</v>
      </c>
      <c r="I19" s="795">
        <f>IF(ISNUMBER(H19/B19),H19/B19," - ")</f>
        <v>128.22222222222223</v>
      </c>
    </row>
    <row r="22" spans="1:78">
      <c r="A22" s="391" t="str">
        <f>Criterios!A4</f>
        <v>Fecha Informe: 24 sep. 2024</v>
      </c>
    </row>
    <row r="27" spans="1:78">
      <c r="A27" s="414"/>
    </row>
  </sheetData>
  <sheetProtection algorithmName="SHA-512" hashValue="ZJgqN0weHA3smvqs30PNdRRwHxU5HiHTx83DSBdHpNRtBCo6irixTkF4pv5Ap71utaJ7POj7AdDj9Fi6SJeJUw==" saltValue="snYfz/THarK0bX2Xblza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TELDE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912</v>
      </c>
      <c r="C9" s="434">
        <f>IF(ISNUMBER(Datos!Q9),Datos!Q9," - ")</f>
        <v>474</v>
      </c>
      <c r="D9" s="408">
        <f>IF(ISNUMBER(Datos!R9),Datos!R9," - ")</f>
        <v>10076</v>
      </c>
    </row>
    <row r="10" spans="1:4">
      <c r="A10" s="402" t="str">
        <f>Datos!A10</f>
        <v>Jdos. Violencia contra la mujer</v>
      </c>
      <c r="B10" s="433">
        <f>IF(ISNUMBER(Datos!P10),Datos!P10," - ")</f>
        <v>25</v>
      </c>
      <c r="C10" s="434">
        <f>IF(ISNUMBER(Datos!Q10),Datos!Q10," - ")</f>
        <v>13</v>
      </c>
      <c r="D10" s="408">
        <f>IF(ISNUMBER(Datos!R10),Datos!R10," - ")</f>
        <v>99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144</v>
      </c>
      <c r="D12" s="408">
        <f>IF(ISNUMBER(Datos!R12),Datos!R12," - ")</f>
        <v>579</v>
      </c>
    </row>
    <row r="13" spans="1:4" ht="14.25" thickTop="1" thickBot="1">
      <c r="A13" s="848" t="str">
        <f>Datos!A13</f>
        <v>TOTAL</v>
      </c>
      <c r="B13" s="849">
        <f>SUBTOTAL(9,B9:B12)</f>
        <v>937</v>
      </c>
      <c r="C13" s="853">
        <f>SUBTOTAL(9,C9:C12)</f>
        <v>631</v>
      </c>
      <c r="D13" s="851">
        <f>SUBTOTAL(9,D9:D12)</f>
        <v>10754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87</v>
      </c>
      <c r="C15" s="434">
        <f>IF(ISNUMBER(Datos!Q15),Datos!Q15," - ")</f>
        <v>103</v>
      </c>
      <c r="D15" s="408">
        <f>IF(ISNUMBER(Datos!R15),Datos!R15," - ")</f>
        <v>370</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5</v>
      </c>
      <c r="C17" s="434">
        <f>IF(ISNUMBER(Datos!Q17),Datos!Q17," - ")</f>
        <v>12</v>
      </c>
      <c r="D17" s="408">
        <f>IF(ISNUMBER(Datos!R17),Datos!R17," - ")</f>
        <v>31</v>
      </c>
    </row>
    <row r="18" spans="1:4" ht="14.25" thickTop="1" thickBot="1">
      <c r="A18" s="848" t="str">
        <f>Datos!A18</f>
        <v>TOTAL</v>
      </c>
      <c r="B18" s="849">
        <f>SUBTOTAL(9,B15:B17)</f>
        <v>92</v>
      </c>
      <c r="C18" s="853">
        <f>SUBTOTAL(9,C15:C17)</f>
        <v>115</v>
      </c>
      <c r="D18" s="851">
        <f>SUBTOTAL(9,D15:D17)</f>
        <v>401</v>
      </c>
    </row>
    <row r="19" spans="1:4" ht="16.5" customHeight="1" thickTop="1" thickBot="1">
      <c r="A19" s="793" t="str">
        <f>Datos!A19</f>
        <v>TOTAL JURISDICCIONES</v>
      </c>
      <c r="B19" s="798">
        <f>SUBTOTAL(9,B8:B18)</f>
        <v>1029</v>
      </c>
      <c r="C19" s="799">
        <f>SUBTOTAL(9,C8:C18)</f>
        <v>746</v>
      </c>
      <c r="D19" s="800">
        <f>SUBTOTAL(9,D8:D18)</f>
        <v>11155</v>
      </c>
    </row>
    <row r="20" spans="1:4" ht="7.5" customHeight="1"/>
    <row r="21" spans="1:4" ht="6" customHeight="1"/>
    <row r="22" spans="1:4">
      <c r="A22" s="391" t="str">
        <f>Criterios!A4</f>
        <v>Fecha Informe: 24 sep. 2024</v>
      </c>
    </row>
    <row r="27" spans="1:4">
      <c r="A27" s="414"/>
    </row>
  </sheetData>
  <sheetProtection algorithmName="SHA-512" hashValue="6lHrK5dJz4lcEiNVXzy4UbTVsm86lxYy02TW8wfbowCeOe7qNN0o/HIMBsq+i4qo0ohEWHv/tAKWyVPhs8CKBg==" saltValue="PFay6z2TndBDxc8K5CKm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TELDE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0.22936995542705699</v>
      </c>
      <c r="C9" s="456">
        <f>IF(ISNUMBER(
   IF(J_V="SI",(Datos!J9-Datos!T9)/Datos!T9,(Datos!J9+Datos!Z9-(Datos!T9+Datos!AH9))/(Datos!T9+Datos!AH9))
     ),IF(J_V="SI",(Datos!J9-Datos!T9)/Datos!T9,(Datos!J9+Datos!Z9-(Datos!T9+Datos!AH9))/(Datos!T9+Datos!AH9))," - ")</f>
        <v>0.15918925074015031</v>
      </c>
      <c r="D9" s="456">
        <f>IF(ISNUMBER(
   IF(J_V="SI",(Datos!K9-Datos!U9)/Datos!U9,(Datos!K9+Datos!AA9-(Datos!U9+Datos!AI9))/(Datos!U9+Datos!AI9))
     ),IF(J_V="SI",(Datos!K9-Datos!U9)/Datos!U9,(Datos!K9+Datos!AA9-(Datos!U9+Datos!AI9))/(Datos!U9+Datos!AI9))," - ")</f>
        <v>8.5575888051668464E-2</v>
      </c>
      <c r="E9" s="456">
        <f>IF(ISNUMBER(
   IF(J_V="SI",(Datos!L9-Datos!V9)/Datos!V9,(Datos!L9+Datos!AB9-(Datos!V9+Datos!AJ9))/(Datos!V9+Datos!AJ9))
     ),IF(J_V="SI",(Datos!L9-Datos!V9)/Datos!V9,(Datos!L9+Datos!AB9-(Datos!V9+Datos!AJ9))/(Datos!V9+Datos!AJ9))," - ")</f>
        <v>0.25378787878787878</v>
      </c>
      <c r="F9" s="456">
        <f>IF(ISNUMBER((Datos!M9-Datos!W9)/Datos!W9),(Datos!M9-Datos!W9)/Datos!W9," - ")</f>
        <v>0.33846153846153848</v>
      </c>
      <c r="G9" s="457">
        <f>IF(ISNUMBER((Datos!N9-Datos!X9)/Datos!X9),(Datos!N9-Datos!X9)/Datos!X9," - ")</f>
        <v>0.38857142857142857</v>
      </c>
      <c r="H9" s="455">
        <f>IF(ISNUMBER(((NºAsuntos!G9/NºAsuntos!E9)-Datos!BD9)/Datos!BD9),((NºAsuntos!G9/NºAsuntos!E9)-Datos!BD9)/Datos!BD9," - ")</f>
        <v>-6.3504179875269892E-2</v>
      </c>
      <c r="I9" s="456">
        <f>IF(ISNUMBER(((NºAsuntos!I9/NºAsuntos!G9)-Datos!BE9)/Datos!BE9),((NºAsuntos!I9/NºAsuntos!G9)-Datos!BE9)/Datos!BE9," - ")</f>
        <v>0.15495184868015793</v>
      </c>
      <c r="J9" s="461">
        <f>IF(ISNUMBER((('Resol  Asuntos'!D9/NºAsuntos!G9)-Datos!BF9)/Datos!BF9),(('Resol  Asuntos'!D9/NºAsuntos!G9)-Datos!BF9)/Datos!BF9," - ")</f>
        <v>-0.38939584956441675</v>
      </c>
      <c r="K9" s="462">
        <f>IF(ISNUMBER((((NºAsuntos!C9+NºAsuntos!E9)/NºAsuntos!G9)-Datos!BG9)/Datos!BG9),(((NºAsuntos!C9+NºAsuntos!E9)/NºAsuntos!G9)-Datos!BG9)/Datos!BG9," - ")</f>
        <v>0.11009265554166831</v>
      </c>
    </row>
    <row r="10" spans="1:11">
      <c r="A10" s="402" t="str">
        <f>Datos!A10</f>
        <v>Jdos. Violencia contra la mujer</v>
      </c>
      <c r="B10" s="455">
        <f>IF(ISNUMBER((Datos!I10-Datos!S10)/Datos!S10),(Datos!I10-Datos!S10)/Datos!S10," - ")</f>
        <v>0.13450292397660818</v>
      </c>
      <c r="C10" s="456">
        <f>IF(ISNUMBER((Datos!J10-Datos!T10)/Datos!T10),(Datos!J10-Datos!T10)/Datos!T10," - ")</f>
        <v>0.21951219512195122</v>
      </c>
      <c r="D10" s="456">
        <f>IF(ISNUMBER((Datos!K10-Datos!U10)/Datos!U10),(Datos!K10-Datos!U10)/Datos!U10," - ")</f>
        <v>1.4857142857142858</v>
      </c>
      <c r="E10" s="456">
        <f>IF(ISNUMBER((Datos!L10-Datos!V10)/Datos!V10),(Datos!L10-Datos!V10)/Datos!V10," - ")</f>
        <v>-0.11299435028248588</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1.0382857142857143</v>
      </c>
      <c r="I10" s="456">
        <f>IF(ISNUMBER(((NºAsuntos!I10/NºAsuntos!G10)-Datos!BE10)/Datos!BE10),((NºAsuntos!I10/NºAsuntos!G10)-Datos!BE10)/Datos!BE10," - ")</f>
        <v>-0.64315864666536793</v>
      </c>
      <c r="J10" s="461">
        <f>IF(ISNUMBER((('Resol  Asuntos'!D10/NºAsuntos!G10)-Datos!BF10)/Datos!BF10),(('Resol  Asuntos'!D10/NºAsuntos!G10)-Datos!BF10)/Datos!BF10," - ")</f>
        <v>-0.46360153256704983</v>
      </c>
      <c r="K10" s="462">
        <f>IF(ISNUMBER((((NºAsuntos!C10+NºAsuntos!E10)/NºAsuntos!G10)-Datos!BG10)/Datos!BG10),(((NºAsuntos!C10+NºAsuntos!E10)/NºAsuntos!G10)-Datos!BG10)/Datos!BG10," - ")</f>
        <v>-0.53697679462155712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0.22731027971202644</v>
      </c>
      <c r="C13" s="855">
        <f>IF(ISNUMBER(
   IF(J_V="SI",(Datos!J13-Datos!T13)/Datos!T13,(Datos!J13+Datos!Z13-(Datos!T13+Datos!AH13))/(Datos!T13+Datos!AH13))
     ),IF(J_V="SI",(Datos!J13-Datos!T13)/Datos!T13,(Datos!J13+Datos!Z13-(Datos!T13+Datos!AH13))/(Datos!T13+Datos!AH13))," - ")</f>
        <v>0.15974729241877256</v>
      </c>
      <c r="D13" s="855">
        <f>IF(ISNUMBER(
   IF(J_V="SI",(Datos!K13-Datos!U13)/Datos!U13,(Datos!K13+Datos!AA13-(Datos!U13+Datos!AI13))/(Datos!U13+Datos!AI13))
     ),IF(J_V="SI",(Datos!K13-Datos!U13)/Datos!U13,(Datos!K13+Datos!AA13-(Datos!U13+Datos!AI13))/(Datos!U13+Datos!AI13))," - ")</f>
        <v>9.834754797441364E-2</v>
      </c>
      <c r="E13" s="855">
        <f>IF(ISNUMBER(
   IF(J_V="SI",(Datos!L13-Datos!V13)/Datos!V13,(Datos!L13+Datos!AB13-(Datos!V13+Datos!AJ13))/(Datos!V13+Datos!AJ13))
     ),IF(J_V="SI",(Datos!L13-Datos!V13)/Datos!V13,(Datos!L13+Datos!AB13-(Datos!V13+Datos!AJ13))/(Datos!V13+Datos!AJ13))," - ")</f>
        <v>0.24669507265377472</v>
      </c>
      <c r="F13" s="856">
        <f>IF(ISNUMBER((Datos!M13-Datos!W13)/Datos!W13),(Datos!M13-Datos!W13)/Datos!W13," - ")</f>
        <v>0.3383838383838384</v>
      </c>
      <c r="G13" s="857">
        <f>IF(ISNUMBER((Datos!N13-Datos!X13)/Datos!X13),(Datos!N13-Datos!X13)/Datos!X13," - ")</f>
        <v>0.48825396825396827</v>
      </c>
      <c r="H13" s="857">
        <f>IF(ISNUMBER(((NºAsuntos!G13/NºAsuntos!E13)-Datos!BD13)/Datos!BD13),((NºAsuntos!G13/NºAsuntos!E13)-Datos!BD13)/Datos!BD13," - ")</f>
        <v>-5.2942347738793527E-2</v>
      </c>
      <c r="I13" s="857">
        <f>IF(ISNUMBER(((NºAsuntos!I13/NºAsuntos!G13)-Datos!BE13)/Datos!BE13),((NºAsuntos!I13/NºAsuntos!G13)-Datos!BE13)/Datos!BE13," - ")</f>
        <v>0.13506428357121161</v>
      </c>
      <c r="J13" s="857">
        <f>IF(ISNUMBER((('Resol  Asuntos'!D13/NºAsuntos!G13)-Datos!BF13)/Datos!BF13),(('Resol  Asuntos'!D13/NºAsuntos!G13)-Datos!BF13)/Datos!BF13," - ")</f>
        <v>-0.39188018642736488</v>
      </c>
      <c r="K13" s="857">
        <f>IF(ISNUMBER((((NºAsuntos!C13+NºAsuntos!E13)/NºAsuntos!G13)-Datos!BG13)/Datos!BG13),(((NºAsuntos!C13+NºAsuntos!E13)/NºAsuntos!G13)-Datos!BG13)/Datos!BG13," - ")</f>
        <v>9.6289546525620176E-2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0.13333333333333333</v>
      </c>
      <c r="C15" s="456">
        <f>IF(ISNUMBER(
   IF(D_I="SI",(Datos!J15-Datos!T15)/Datos!T15,(Datos!J15+Datos!AD15-(Datos!T15+Datos!AL15))/(Datos!T15+Datos!AL15))
     ),IF(D_I="SI",(Datos!J15-Datos!T15)/Datos!T15,(Datos!J15+Datos!AD15-(Datos!T15+Datos!AL15))/(Datos!T15+Datos!AL15))," - ")</f>
        <v>-1.9917012448132779E-2</v>
      </c>
      <c r="D15" s="456">
        <f>IF(ISNUMBER(
   IF(D_I="SI",(Datos!K15-Datos!U15)/Datos!U15,(Datos!K15+Datos!AE15-(Datos!U15+Datos!AM15))/(Datos!U15+Datos!AM15))
     ),IF(D_I="SI",(Datos!K15-Datos!U15)/Datos!U15,(Datos!K15+Datos!AE15-(Datos!U15+Datos!AM15))/(Datos!U15+Datos!AM15))," - ")</f>
        <v>0.12415130940834142</v>
      </c>
      <c r="E15" s="456">
        <f>IF(ISNUMBER(
   IF(D_I="SI",(Datos!L15-Datos!V15)/Datos!V15,(Datos!L15+Datos!AF15-(Datos!V15+Datos!AN15))/(Datos!V15+Datos!AN15))
     ),IF(D_I="SI",(Datos!L15-Datos!V15)/Datos!V15,(Datos!L15+Datos!AF15-(Datos!V15+Datos!AN15))/(Datos!V15+Datos!AN15))," - ")</f>
        <v>3.372049456725365E-2</v>
      </c>
      <c r="F15" s="456">
        <f>IF(ISNUMBER((Datos!M15-Datos!W15)/Datos!W15),(Datos!M15-Datos!W15)/Datos!W15," - ")</f>
        <v>0.28923076923076924</v>
      </c>
      <c r="G15" s="457">
        <f>IF(ISNUMBER((Datos!N15-Datos!X15)/Datos!X15),(Datos!N15-Datos!X15)/Datos!X15," - ")</f>
        <v>0.13800904977375567</v>
      </c>
      <c r="H15" s="455">
        <f>IF(ISNUMBER(((NºAsuntos!G15/NºAsuntos!E15)-Datos!BD15)/Datos!BD15),((NºAsuntos!G15/NºAsuntos!E15)-Datos!BD15)/Datos!BD15," - ")</f>
        <v>0.14699604389250759</v>
      </c>
      <c r="I15" s="456">
        <f>IF(ISNUMBER(((NºAsuntos!I15/NºAsuntos!G15)-Datos!BE15)/Datos!BE15),((NºAsuntos!I15/NºAsuntos!G15)-Datos!BE15)/Datos!BE15," - ")</f>
        <v>-8.044363252904356E-2</v>
      </c>
      <c r="J15" s="461">
        <f>IF(ISNUMBER((('Resol  Asuntos'!D15/NºAsuntos!G15)-Datos!BF15)/Datos!BF15),(('Resol  Asuntos'!D15/NºAsuntos!G15)-Datos!BF15)/Datos!BF15," - ")</f>
        <v>0.14684807858233229</v>
      </c>
      <c r="K15" s="462">
        <f>IF(ISNUMBER((((NºAsuntos!C15+NºAsuntos!E15)/NºAsuntos!G15)-Datos!BG15)/Datos!BG15),(((NºAsuntos!C15+NºAsuntos!E15)/NºAsuntos!G15)-Datos!BG15)/Datos!BG15," - ")</f>
        <v>-6.035010944856465E-2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v>
      </c>
      <c r="C16" s="456">
        <f>IF(ISNUMBER(
   IF(D_I="SI",(Datos!J16-Datos!T16)/Datos!T16,(Datos!J16+Datos!AD16-(Datos!T16+Datos!AL16))/(Datos!T16+Datos!AL16))
     ),IF(D_I="SI",(Datos!J16-Datos!T16)/Datos!T16,(Datos!J16+Datos!AD16-(Datos!T16+Datos!AL16))/(Datos!T16+Datos!AL16))," - ")</f>
        <v>-1</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-0.4</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-0.18817204301075269</v>
      </c>
      <c r="C17" s="456">
        <f>IF(ISNUMBER(
   IF(D_I="SI",(Datos!J17-Datos!T17)/Datos!T17,(Datos!J17+Datos!AD17-(Datos!T17+Datos!AL17))/(Datos!T17+Datos!AL17))
     ),IF(D_I="SI",(Datos!J17-Datos!T17)/Datos!T17,(Datos!J17+Datos!AD17-(Datos!T17+Datos!AL17))/(Datos!T17+Datos!AL17))," - ")</f>
        <v>-0.28402366863905326</v>
      </c>
      <c r="D17" s="456">
        <f>IF(ISNUMBER(
   IF(D_I="SI",(Datos!K17-Datos!U17)/Datos!U17,(Datos!K17+Datos!AE17-(Datos!U17+Datos!AM17))/(Datos!U17+Datos!AM17))
     ),IF(D_I="SI",(Datos!K17-Datos!U17)/Datos!U17,(Datos!K17+Datos!AE17-(Datos!U17+Datos!AM17))/(Datos!U17+Datos!AM17))," - ")</f>
        <v>-0.1171875</v>
      </c>
      <c r="E17" s="456">
        <f>IF(ISNUMBER(
   IF(D_I="SI",(Datos!L17-Datos!V17)/Datos!V17,(Datos!L17+Datos!AF17-(Datos!V17+Datos!AN17))/(Datos!V17+Datos!AN17))
     ),IF(D_I="SI",(Datos!L17-Datos!V17)/Datos!V17,(Datos!L17+Datos!AF17-(Datos!V17+Datos!AN17))/(Datos!V17+Datos!AN17))," - ")</f>
        <v>-0.29955947136563876</v>
      </c>
      <c r="F17" s="456">
        <f>IF(ISNUMBER((Datos!M17-Datos!W17)/Datos!W17),(Datos!M17-Datos!W17)/Datos!W17," - ")</f>
        <v>-1.5151515151515152E-2</v>
      </c>
      <c r="G17" s="457">
        <f>IF(ISNUMBER((Datos!N17-Datos!X17)/Datos!X17),(Datos!N17-Datos!X17)/Datos!X17," - ")</f>
        <v>-0.51485148514851486</v>
      </c>
      <c r="H17" s="455">
        <f>IF(ISNUMBER(((NºAsuntos!G17/NºAsuntos!E17)-Datos!BD17)/Datos!BD17),((NºAsuntos!G17/NºAsuntos!E17)-Datos!BD17)/Datos!BD17," - ")</f>
        <v>0.23301911157024796</v>
      </c>
      <c r="I17" s="456">
        <f>IF(ISNUMBER(((NºAsuntos!I17/NºAsuntos!G17)-Datos!BE17)/Datos!BE17),((NºAsuntos!I17/NºAsuntos!G17)-Datos!BE17)/Datos!BE17," - ")</f>
        <v>-0.20658064013098906</v>
      </c>
      <c r="J17" s="461">
        <f>IF(ISNUMBER((('Resol  Asuntos'!D17/NºAsuntos!G17)-Datos!BF17)/Datos!BF17),(('Resol  Asuntos'!D17/NºAsuntos!G17)-Datos!BF17)/Datos!BF17," - ")</f>
        <v>0.11558058460713329</v>
      </c>
      <c r="K17" s="462">
        <f>IF(ISNUMBER((((NºAsuntos!C17+NºAsuntos!E17)/NºAsuntos!G17)-Datos!BG17)/Datos!BG17),(((NºAsuntos!C17+NºAsuntos!E17)/NºAsuntos!G17)-Datos!BG17)/Datos!BG17," - ")</f>
        <v>-0.13209522622460421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0.10947204968944099</v>
      </c>
      <c r="C18" s="855">
        <f>IF(ISNUMBER(
   IF(Criterios!B14="SI",(Datos!J18-Datos!T18)/Datos!T18,(Datos!J18+Datos!AD18-(Datos!T18+Datos!AL18))/(Datos!T18+Datos!AL18))
     ),IF(Criterios!B14="SI",(Datos!J18-Datos!T18)/Datos!T18,(Datos!J18+Datos!AD18-(Datos!T18+Datos!AL18))/(Datos!T18+Datos!AL18))," - ")</f>
        <v>-3.7596899224806204E-2</v>
      </c>
      <c r="D18" s="855">
        <f>IF(ISNUMBER(
   IF(Criterios!B14="SI",(Datos!K18-Datos!U18)/Datos!U18,(Datos!K18+Datos!AE18-(Datos!U18+Datos!AM18))/(Datos!U18+Datos!AM18))
     ),IF(Criterios!B14="SI",(Datos!K18-Datos!U18)/Datos!U18,(Datos!K18+Datos!AE18-(Datos!U18+Datos!AM18))/(Datos!U18+Datos!AM18))," - ")</f>
        <v>0.10953902327704244</v>
      </c>
      <c r="E18" s="855">
        <f>IF(ISNUMBER(
   IF(Criterios!B14="SI",(Datos!L18-Datos!V18)/Datos!V18,(Datos!L18+Datos!AF18-(Datos!V18+Datos!AN18))/(Datos!V18+Datos!AN18))
     ),IF(Criterios!B14="SI",(Datos!L18-Datos!V18)/Datos!V18,(Datos!L18+Datos!AF18-(Datos!V18+Datos!AN18))/(Datos!V18+Datos!AN18))," - ")</f>
        <v>6.894174422612892E-3</v>
      </c>
      <c r="F18" s="856">
        <f>IF(ISNUMBER((Datos!M18-Datos!W18)/Datos!W18),(Datos!M18-Datos!W18)/Datos!W18," - ")</f>
        <v>0.23785166240409208</v>
      </c>
      <c r="G18" s="857">
        <f>IF(ISNUMBER((Datos!N18-Datos!X18)/Datos!X18),(Datos!N18-Datos!X18)/Datos!X18," - ")</f>
        <v>9.1036414565826326E-2</v>
      </c>
      <c r="H18" s="857">
        <f>IF(ISNUMBER(((NºAsuntos!G18/NºAsuntos!E18)-Datos!BD18)/Datos!BD18),((NºAsuntos!G18/NºAsuntos!E18)-Datos!BD18)/Datos!BD18," - ")</f>
        <v>0.15288388242237996</v>
      </c>
      <c r="I18" s="857">
        <f>IF(ISNUMBER(((NºAsuntos!I18/NºAsuntos!G18)-Datos!BE18)/Datos!BE18),((NºAsuntos!I18/NºAsuntos!G18)-Datos!BE18)/Datos!BE18," - ")</f>
        <v>-9.2511256207344669E-2</v>
      </c>
      <c r="J18" s="857">
        <f>IF(ISNUMBER((('Resol  Asuntos'!D18/NºAsuntos!G18)-Datos!BF18)/Datos!BF18),(('Resol  Asuntos'!D18/NºAsuntos!G18)-Datos!BF18)/Datos!BF18," - ")</f>
        <v>0.11564499890060287</v>
      </c>
      <c r="K18" s="857">
        <f>IF(ISNUMBER((((NºAsuntos!C18+NºAsuntos!E18)/NºAsuntos!G18)-Datos!BG18)/Datos!BG18),(((NºAsuntos!C18+NºAsuntos!E18)/NºAsuntos!G18)-Datos!BG18)/Datos!BG18," - ")</f>
        <v>-6.638657513708858E-2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0.19983708932935107</v>
      </c>
      <c r="C19" s="802">
        <f>IF(ISNUMBER(
   IF(J_V="SI",(Datos!J19-Datos!T19)/Datos!T19,(Datos!J19+Datos!Z19-(Datos!T19+Datos!AH19))/(Datos!T19+Datos!AH19))
     ),IF(J_V="SI",(Datos!J19-Datos!T19)/Datos!T19,(Datos!J19+Datos!Z19-(Datos!T19+Datos!AH19))/(Datos!T19+Datos!AH19))," - ")</f>
        <v>8.7136337706788358E-2</v>
      </c>
      <c r="D19" s="802">
        <f>IF(ISNUMBER(
   IF(J_V="SI",(Datos!K19-Datos!U19)/Datos!U19,(Datos!K19+Datos!AA19-(Datos!U19+Datos!AI19))/(Datos!U19+Datos!AI19))
     ),IF(J_V="SI",(Datos!K19-Datos!U19)/Datos!U19,(Datos!K19+Datos!AA19-(Datos!U19+Datos!AI19))/(Datos!U19+Datos!AI19))," - ")</f>
        <v>0.10247349823321555</v>
      </c>
      <c r="E19" s="802">
        <f>IF(ISNUMBER(
   IF(J_V="SI",(Datos!L19-Datos!V19)/Datos!V19,(Datos!L19+Datos!AB19-(Datos!V19+Datos!AJ19))/(Datos!V19+Datos!AJ19))
     ),IF(J_V="SI",(Datos!L19-Datos!V19)/Datos!V19,(Datos!L19+Datos!AB19-(Datos!V19+Datos!AJ19))/(Datos!V19+Datos!AJ19))," - ")</f>
        <v>0.18898291023726563</v>
      </c>
      <c r="F19" s="803">
        <f>IF(ISNUMBER((Datos!M19-Datos!W19)/Datos!W19),(Datos!M19-Datos!W19)/Datos!W19," - ")</f>
        <v>0.305156382079459</v>
      </c>
      <c r="G19" s="804">
        <f>IF(ISNUMBER((Datos!N19-Datos!X19)/Datos!X19),(Datos!N19-Datos!X19)/Datos!X19," - ")</f>
        <v>0.29936729936729939</v>
      </c>
      <c r="H19" s="805">
        <f>IF(ISNUMBER((Tasas!B19-Datos!BD19)/Datos!BD19),(Tasas!B19-Datos!BD19)/Datos!BD19," - ")</f>
        <v>1.4107853812319044E-2</v>
      </c>
      <c r="I19" s="806">
        <f>IF(ISNUMBER((Tasas!C19-Datos!BE19)/Datos!BE19),(Tasas!C19-Datos!BE19)/Datos!BE19," - ")</f>
        <v>7.846847306777599E-2</v>
      </c>
      <c r="J19" s="807">
        <f>IF(ISNUMBER((Tasas!D19-Datos!BF19)/Datos!BF19),(Tasas!D19-Datos!BF19)/Datos!BF19," - ")</f>
        <v>-0.29196805890435817</v>
      </c>
      <c r="K19" s="807">
        <f>IF(ISNUMBER((Tasas!E19-Datos!BG19)/Datos!BG19),(Tasas!E19-Datos!BG19)/Datos!BG19," - ")</f>
        <v>4.8625810820595104E-2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pLp3WVEshFgGN6dPEIv9wDQdU3vnudaCCO2AtnULXz94x2kUeteqnyW16Qu0zObb4XLHCjQ4ht5aXZjlkrEA==" saltValue="tLsrnIonq41m6AGZbRVb0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TELDE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0.79253438113948915</v>
      </c>
      <c r="C9" s="443">
        <f>IF(ISNUMBER(NºAsuntos!I9/NºAsuntos!G9),NºAsuntos!I9/NºAsuntos!G9," - ")</f>
        <v>2.7897868120971738</v>
      </c>
      <c r="D9" s="444">
        <f>IF(ISNUMBER('Resol  Asuntos'!D9/NºAsuntos!G9),'Resol  Asuntos'!D9/NºAsuntos!G9," - ")</f>
        <v>0.25880019831432821</v>
      </c>
      <c r="E9" s="445">
        <f>IF(ISNUMBER((NºAsuntos!C9+NºAsuntos!E9)/NºAsuntos!G9),(NºAsuntos!C9+NºAsuntos!E9)/NºAsuntos!G9," - ")</f>
        <v>3.7915220624690136</v>
      </c>
      <c r="G9" s="463"/>
    </row>
    <row r="10" spans="1:7">
      <c r="A10" s="402" t="str">
        <f>Datos!A10</f>
        <v>Jdos. Violencia contra la mujer</v>
      </c>
      <c r="B10" s="442">
        <f>IF(ISNUMBER(NºAsuntos!G10/NºAsuntos!E10),NºAsuntos!G10/NºAsuntos!E10," - ")</f>
        <v>1.74</v>
      </c>
      <c r="C10" s="443">
        <f>IF(ISNUMBER(NºAsuntos!I10/NºAsuntos!G10),NºAsuntos!I10/NºAsuntos!G10," - ")</f>
        <v>1.8045977011494252</v>
      </c>
      <c r="D10" s="444">
        <f>IF(ISNUMBER('Resol  Asuntos'!D10/NºAsuntos!G10),'Resol  Asuntos'!D10/NºAsuntos!G10," - ")</f>
        <v>0.18390804597701149</v>
      </c>
      <c r="E10" s="445">
        <f>IF(ISNUMBER((NºAsuntos!C10+NºAsuntos!E10)/NºAsuntos!G10),(NºAsuntos!C10+NºAsuntos!E10)/NºAsuntos!G10," - ")</f>
        <v>2.8045977011494254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0.80175097276264595</v>
      </c>
      <c r="C13" s="859">
        <f>IF(ISNUMBER(NºAsuntos!I13/NºAsuntos!G13),NºAsuntos!I13/NºAsuntos!G13," - ")</f>
        <v>2.7689881096821161</v>
      </c>
      <c r="D13" s="860">
        <f>IF(ISNUMBER('Resol  Asuntos'!D13/NºAsuntos!G13),'Resol  Asuntos'!D13/NºAsuntos!G13," - ")</f>
        <v>0.25721912157243387</v>
      </c>
      <c r="E13" s="861">
        <f>IF(ISNUMBER((NºAsuntos!C13+NºAsuntos!E13)/NºAsuntos!G13),(NºAsuntos!C13+NºAsuntos!E13)/NºAsuntos!G13," - ")</f>
        <v>3.7706867265226887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0.98137171888230312</v>
      </c>
      <c r="C15" s="443">
        <f>IF(ISNUMBER(NºAsuntos!I15/NºAsuntos!G15),NºAsuntos!I15/NºAsuntos!G15," - ")</f>
        <v>1.1902502157031924</v>
      </c>
      <c r="D15" s="444">
        <f>IF(ISNUMBER('Resol  Asuntos'!D15/NºAsuntos!G15),'Resol  Asuntos'!D15/NºAsuntos!G15," - ")</f>
        <v>0.1807592752372735</v>
      </c>
      <c r="E15" s="445">
        <f>IF(ISNUMBER((NºAsuntos!C15+NºAsuntos!E15)/NºAsuntos!G15),(NºAsuntos!C15+NºAsuntos!E15)/NºAsuntos!G15," - ")</f>
        <v>2.1850733390854185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0.93388429752066116</v>
      </c>
      <c r="C17" s="443">
        <f>IF(ISNUMBER(NºAsuntos!I17/NºAsuntos!G17),NºAsuntos!I17/NºAsuntos!G17," - ")</f>
        <v>1.4070796460176991</v>
      </c>
      <c r="D17" s="444">
        <f>IF(ISNUMBER('Resol  Asuntos'!D17/NºAsuntos!G17),'Resol  Asuntos'!D17/NºAsuntos!G17," - ")</f>
        <v>0.5752212389380531</v>
      </c>
      <c r="E17" s="445">
        <f>IF(ISNUMBER((NºAsuntos!C17+NºAsuntos!E17)/NºAsuntos!G17),(NºAsuntos!C17+NºAsuntos!E17)/NºAsuntos!G17," - ")</f>
        <v>2.4070796460176993</v>
      </c>
      <c r="G17" s="463"/>
    </row>
    <row r="18" spans="1:7" ht="14.25" thickTop="1" thickBot="1">
      <c r="A18" s="848" t="str">
        <f>Datos!A18</f>
        <v>TOTAL</v>
      </c>
      <c r="B18" s="858">
        <f>IF(ISNUMBER(NºAsuntos!G18/NºAsuntos!E18),NºAsuntos!G18/NºAsuntos!E18," - ")</f>
        <v>0.97905759162303663</v>
      </c>
      <c r="C18" s="859">
        <f>IF(ISNUMBER(NºAsuntos!I18/NºAsuntos!G18),NºAsuntos!I18/NºAsuntos!G18," - ")</f>
        <v>1.2015631427396134</v>
      </c>
      <c r="D18" s="862">
        <f>IF(ISNUMBER('Resol  Asuntos'!D18/NºAsuntos!G18),'Resol  Asuntos'!D18/NºAsuntos!G18," - ")</f>
        <v>0.19909502262443438</v>
      </c>
      <c r="E18" s="861">
        <f>IF(ISNUMBER((NºAsuntos!C18+NºAsuntos!E18)/NºAsuntos!G18),(NºAsuntos!C18+NºAsuntos!E18)/NºAsuntos!G18," - ")</f>
        <v>2.1970382558617851</v>
      </c>
      <c r="G18" s="463"/>
    </row>
    <row r="19" spans="1:7" ht="15.75" customHeight="1" thickTop="1" thickBot="1">
      <c r="A19" s="793" t="str">
        <f>Datos!A19</f>
        <v>TOTAL JURISDICCIONES</v>
      </c>
      <c r="B19" s="808">
        <f>IF(ISNUMBER(NºAsuntos!G19/NºAsuntos!E19),NºAsuntos!G19/NºAsuntos!E19," - ")</f>
        <v>0.85950413223140498</v>
      </c>
      <c r="C19" s="809">
        <f>IF(ISNUMBER(NºAsuntos!I19/NºAsuntos!G19),NºAsuntos!I19/NºAsuntos!G19," - ")</f>
        <v>2.1874236874236872</v>
      </c>
      <c r="D19" s="810">
        <f>IF(ISNUMBER('Resol  Asuntos'!D19/NºAsuntos!G19),'Resol  Asuntos'!D19/NºAsuntos!G19," - ")</f>
        <v>0.23565323565323565</v>
      </c>
      <c r="E19" s="811">
        <f>IF(ISNUMBER((NºAsuntos!C19+NºAsuntos!E19)/NºAsuntos!G19),(NºAsuntos!C19+NºAsuntos!E19)/NºAsuntos!G19," - ")</f>
        <v>3.1868131868131866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Hm14nE3abCi0rkJo0n3Hv/CWM1Z8OXfOcbSioE+DUsBdogzu7xH1PEyDt6JLT9BAXHkDSuo3hVd4sSGSVO4qw==" saltValue="qdxIeudX+DXzlwmPHMs8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TELDE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912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474</v>
      </c>
      <c r="Y9" s="334">
        <f>SUM(W9:X9)</f>
        <v>474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10076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1044</v>
      </c>
      <c r="AJ9" s="229" t="str">
        <f>IF(ISNUMBER(Datos!BW9),Datos!BW9," - ")</f>
        <v xml:space="preserve"> - </v>
      </c>
      <c r="AK9" s="228" t="str">
        <f>IF(ISNUMBER(Datos!BX9),Datos!BX9," - ")</f>
        <v xml:space="preserve"> - </v>
      </c>
      <c r="AL9" s="243">
        <f>IF(ISNUMBER(NºAsuntos!G9/NºAsuntos!E9),NºAsuntos!G9/NºAsuntos!E9," - ")</f>
        <v>0.79253438113948915</v>
      </c>
      <c r="AM9" s="260">
        <f>IF(ISNUMBER(((NºAsuntos!I9/NºAsuntos!G9)*11)/factor_trimestre),((NºAsuntos!I9/NºAsuntos!G9)*11)/factor_trimestre," - ")</f>
        <v>8.3693604362915224</v>
      </c>
      <c r="AN9" s="244">
        <f>IF(ISNUMBER('Resol  Asuntos'!D9/NºAsuntos!G9),'Resol  Asuntos'!D9/NºAsuntos!G9," - ")</f>
        <v>0.25880019831432821</v>
      </c>
      <c r="AO9" s="245">
        <f>IF(ISNUMBER((NºAsuntos!C9+NºAsuntos!E9)/NºAsuntos!G9),(NºAsuntos!C9+NºAsuntos!E9)/NºAsuntos!G9," - ")</f>
        <v>3.7915220624690136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194</v>
      </c>
      <c r="G10" s="333">
        <f>IF(ISNUMBER(Datos!I10),Datos!I10," - ")</f>
        <v>194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87</v>
      </c>
      <c r="X10" s="226">
        <f>IF(ISNUMBER(Datos!Q10),Datos!Q10," - ")</f>
        <v>13</v>
      </c>
      <c r="Y10" s="334">
        <f t="shared" ref="Y10:Y12" si="0">SUM(W10:X10)</f>
        <v>100</v>
      </c>
      <c r="Z10" s="335" t="str">
        <f>IF(ISNUMBER(Datos!CC10),Datos!CC10," - ")</f>
        <v xml:space="preserve"> - </v>
      </c>
      <c r="AA10" s="332">
        <f>IF(ISNUMBER(Datos!L10),Datos!L10,"-")</f>
        <v>157</v>
      </c>
      <c r="AB10" s="334">
        <f>IF(ISNUMBER(Datos!R10),Datos!R10," - ")</f>
        <v>99</v>
      </c>
      <c r="AC10" s="334">
        <f t="shared" ref="AC10:AC12" si="1">IF(ISNUMBER(AA10+AB10),AA10+AB10," - ")</f>
        <v>256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1.74</v>
      </c>
      <c r="AM10" s="260">
        <f>IF(ISNUMBER(((NºAsuntos!I10/NºAsuntos!G10)*11)/factor_trimestre),((NºAsuntos!I10/NºAsuntos!G10)*11)/factor_trimestre," - ")</f>
        <v>5.4137931034482758</v>
      </c>
      <c r="AN10" s="244">
        <f>IF(ISNUMBER('Resol  Asuntos'!D10/NºAsuntos!G10),'Resol  Asuntos'!D10/NºAsuntos!G10," - ")</f>
        <v>0.18390804597701149</v>
      </c>
      <c r="AO10" s="245">
        <f>IF(ISNUMBER((NºAsuntos!C10+NºAsuntos!E10)/NºAsuntos!G10),(NºAsuntos!C10+NºAsuntos!E10)/NºAsuntos!G10," - ")</f>
        <v>2.8045977011494254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144</v>
      </c>
      <c r="Y12" s="334">
        <f t="shared" si="0"/>
        <v>144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194</v>
      </c>
      <c r="G13" s="866">
        <f t="shared" si="3"/>
        <v>194</v>
      </c>
      <c r="H13" s="865">
        <f t="shared" si="3"/>
        <v>0</v>
      </c>
      <c r="I13" s="867">
        <f t="shared" si="3"/>
        <v>0</v>
      </c>
      <c r="J13" s="867">
        <f t="shared" si="3"/>
        <v>0</v>
      </c>
      <c r="K13" s="867">
        <f t="shared" si="3"/>
        <v>0</v>
      </c>
      <c r="L13" s="867">
        <f t="shared" si="3"/>
        <v>937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87</v>
      </c>
      <c r="X13" s="867">
        <f t="shared" si="4"/>
        <v>631</v>
      </c>
      <c r="Y13" s="868">
        <f t="shared" si="4"/>
        <v>718</v>
      </c>
      <c r="Z13" s="868">
        <f t="shared" si="4"/>
        <v>0</v>
      </c>
      <c r="AA13" s="868">
        <f t="shared" si="4"/>
        <v>157</v>
      </c>
      <c r="AB13" s="868">
        <f t="shared" si="4"/>
        <v>10754</v>
      </c>
      <c r="AC13" s="868">
        <f t="shared" si="4"/>
        <v>256</v>
      </c>
      <c r="AD13" s="868">
        <f t="shared" si="4"/>
        <v>0</v>
      </c>
      <c r="AE13" s="872">
        <f t="shared" si="4"/>
        <v>0</v>
      </c>
      <c r="AF13" s="865">
        <f t="shared" si="4"/>
        <v>0</v>
      </c>
      <c r="AG13" s="873">
        <f t="shared" si="4"/>
        <v>0</v>
      </c>
      <c r="AH13" s="870">
        <f t="shared" si="4"/>
        <v>0</v>
      </c>
      <c r="AI13" s="865">
        <f t="shared" si="4"/>
        <v>1060</v>
      </c>
      <c r="AJ13" s="867">
        <f t="shared" si="4"/>
        <v>0</v>
      </c>
      <c r="AK13" s="870">
        <f>SUBTOTAL(9,AK9:AK12)</f>
        <v>0</v>
      </c>
      <c r="AL13" s="874">
        <f>IF(ISNUMBER(NºAsuntos!G13/NºAsuntos!E13),NºAsuntos!G13/NºAsuntos!E13," - ")</f>
        <v>0.80175097276264595</v>
      </c>
      <c r="AM13" s="874">
        <f>IF(ISNUMBER(((NºAsuntos!I13/NºAsuntos!G13)*11)/factor_trimestre),((NºAsuntos!I13/NºAsuntos!G13)*11)/factor_trimestre," - ")</f>
        <v>8.3069643290463482</v>
      </c>
      <c r="AN13" s="875">
        <f>IF(ISNUMBER('Resol  Asuntos'!D13/NºAsuntos!G13),'Resol  Asuntos'!D13/NºAsuntos!G13," - ")</f>
        <v>0.25721912157243387</v>
      </c>
      <c r="AO13" s="876">
        <f>IF(ISNUMBER((NºAsuntos!C13+NºAsuntos!E13)/NºAsuntos!G13),(NºAsuntos!C13+NºAsuntos!E13)/NºAsuntos!G13," - ")</f>
        <v>3.7706867265226887</v>
      </c>
      <c r="AP13" s="877" t="str">
        <f t="shared" si="2"/>
        <v xml:space="preserve"> - </v>
      </c>
      <c r="AQ13" s="877">
        <f>IF(ISNUMBER((H13-W13+K13)/(F13)),(H13-W13+K13)/(F13)," - ")</f>
        <v>-0.4484536082474227</v>
      </c>
      <c r="AR13" s="878">
        <f>IF(ISNUMBER((Datos!P13-Datos!Q13)/(Datos!R13-Datos!P13+Datos!Q13)),(Datos!P13-Datos!Q13)/(Datos!R13-Datos!P13+Datos!Q13)," - ")</f>
        <v>2.9287901990811639E-2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2715</v>
      </c>
      <c r="G15" s="333">
        <f>IF(ISNUMBER(IF(D_I="SI",Datos!I15,Datos!I15+Datos!AC15)),IF(D_I="SI",Datos!I15,Datos!I15+Datos!AC15)," - ")</f>
        <v>2703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2318</v>
      </c>
      <c r="X15" s="226">
        <f>IF(ISNUMBER(Datos!Q15),Datos!Q15," - ")</f>
        <v>103</v>
      </c>
      <c r="Y15" s="334">
        <f>SUM(W15)</f>
        <v>2318</v>
      </c>
      <c r="Z15" s="335" t="str">
        <f>IF(ISNUMBER(Datos!CC15),Datos!CC15," - ")</f>
        <v xml:space="preserve"> - </v>
      </c>
      <c r="AA15" s="332">
        <f>IF(ISNUMBER(IF(D_I="SI",Datos!L15,Datos!L15+Datos!AF15)),IF(D_I="SI",Datos!L15,Datos!L15+Datos!AF15)," - ")</f>
        <v>2759</v>
      </c>
      <c r="AB15" s="334">
        <f>IF(ISNUMBER(Datos!R15),Datos!R15," - ")</f>
        <v>370</v>
      </c>
      <c r="AC15" s="334">
        <f t="shared" ref="AC15:AC17" si="6">IF(ISNUMBER(AA15+AB15),AA15+AB15," - ")</f>
        <v>3129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419</v>
      </c>
      <c r="AJ15" s="231" t="str">
        <f>IF(ISNUMBER(Datos!BW15),Datos!BW15," - ")</f>
        <v xml:space="preserve"> - </v>
      </c>
      <c r="AK15" s="232" t="str">
        <f>IF(ISNUMBER(Datos!BX15),Datos!BX15," - ")</f>
        <v xml:space="preserve"> - </v>
      </c>
      <c r="AL15" s="243">
        <f>IF(ISNUMBER(NºAsuntos!G15/NºAsuntos!E15),NºAsuntos!G15/NºAsuntos!E15," - ")</f>
        <v>0.98137171888230312</v>
      </c>
      <c r="AM15" s="260">
        <f>IF(ISNUMBER(((NºAsuntos!I15/NºAsuntos!G15)*11)/factor_trimestre),((NºAsuntos!I15/NºAsuntos!G15)*11)/factor_trimestre," - ")</f>
        <v>3.5707506471095773</v>
      </c>
      <c r="AN15" s="244">
        <f>IF(ISNUMBER('Resol  Asuntos'!D15/NºAsuntos!G15),'Resol  Asuntos'!D15/NºAsuntos!G15," - ")</f>
        <v>0.1807592752372735</v>
      </c>
      <c r="AO15" s="245">
        <f>IF(ISNUMBER((NºAsuntos!C15+NºAsuntos!E15)/NºAsuntos!G15),(NºAsuntos!C15+NºAsuntos!E15)/NºAsuntos!G15," - ")</f>
        <v>2.1850733390854185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113</v>
      </c>
      <c r="X17" s="226">
        <f>IF(ISNUMBER(Datos!Q17),Datos!Q17," - ")</f>
        <v>12</v>
      </c>
      <c r="Y17" s="334">
        <f t="shared" si="7"/>
        <v>125</v>
      </c>
      <c r="Z17" s="335" t="str">
        <f>IF(ISNUMBER(Datos!CC17),Datos!CC17," - ")</f>
        <v xml:space="preserve"> - </v>
      </c>
      <c r="AA17" s="332">
        <f>IF(ISNUMBER(Datos!L17),Datos!L17,"-")</f>
        <v>159</v>
      </c>
      <c r="AB17" s="334">
        <f>IF(ISNUMBER(Datos!R17),Datos!R17," - ")</f>
        <v>31</v>
      </c>
      <c r="AC17" s="334">
        <f t="shared" si="6"/>
        <v>190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0.93388429752066116</v>
      </c>
      <c r="AM17" s="260">
        <f>IF(ISNUMBER(((NºAsuntos!I17/NºAsuntos!G17)*11)/factor_trimestre),((NºAsuntos!I17/NºAsuntos!G17)*11)/factor_trimestre," - ")</f>
        <v>4.2212389380530979</v>
      </c>
      <c r="AN17" s="244">
        <f>IF(ISNUMBER('Resol  Asuntos'!D17/NºAsuntos!G17),'Resol  Asuntos'!D17/NºAsuntos!G17," - ")</f>
        <v>0.5752212389380531</v>
      </c>
      <c r="AO17" s="245">
        <f>IF(ISNUMBER((NºAsuntos!C17+NºAsuntos!E17)/NºAsuntos!G17),(NºAsuntos!C17+NºAsuntos!E17)/NºAsuntos!G17," - ")</f>
        <v>2.4070796460176993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2718</v>
      </c>
      <c r="G18" s="866">
        <f>SUBTOTAL(9,G15:G17)</f>
        <v>2858</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2431</v>
      </c>
      <c r="X18" s="867">
        <f t="shared" si="11"/>
        <v>115</v>
      </c>
      <c r="Y18" s="868">
        <f t="shared" si="11"/>
        <v>2443</v>
      </c>
      <c r="Z18" s="868">
        <f t="shared" si="11"/>
        <v>0</v>
      </c>
      <c r="AA18" s="868">
        <f t="shared" si="11"/>
        <v>2921</v>
      </c>
      <c r="AB18" s="868">
        <f t="shared" si="11"/>
        <v>401</v>
      </c>
      <c r="AC18" s="868">
        <f t="shared" si="11"/>
        <v>3322</v>
      </c>
      <c r="AD18" s="868">
        <f t="shared" si="11"/>
        <v>0</v>
      </c>
      <c r="AE18" s="872">
        <f t="shared" si="11"/>
        <v>0</v>
      </c>
      <c r="AF18" s="865">
        <f t="shared" si="11"/>
        <v>0</v>
      </c>
      <c r="AG18" s="873">
        <f t="shared" si="11"/>
        <v>0</v>
      </c>
      <c r="AH18" s="870">
        <f t="shared" si="11"/>
        <v>0</v>
      </c>
      <c r="AI18" s="865">
        <f t="shared" si="11"/>
        <v>484</v>
      </c>
      <c r="AJ18" s="867">
        <f t="shared" si="11"/>
        <v>0</v>
      </c>
      <c r="AK18" s="870">
        <f t="shared" si="11"/>
        <v>0</v>
      </c>
      <c r="AL18" s="874">
        <f>IF(ISNUMBER(NºAsuntos!G18/NºAsuntos!E18),NºAsuntos!G18/NºAsuntos!E18," - ")</f>
        <v>0.97905759162303663</v>
      </c>
      <c r="AM18" s="874">
        <f>IF(ISNUMBER(((NºAsuntos!I18/NºAsuntos!G18)*11)/factor_trimestre),((NºAsuntos!I18/NºAsuntos!G18)*11)/factor_trimestre," - ")</f>
        <v>3.6046894282188404</v>
      </c>
      <c r="AN18" s="875">
        <f>IF(ISNUMBER('Resol  Asuntos'!D18/NºAsuntos!G18),'Resol  Asuntos'!D18/NºAsuntos!G18," - ")</f>
        <v>0.19909502262443438</v>
      </c>
      <c r="AO18" s="876">
        <f>IF(ISNUMBER((NºAsuntos!C18+NºAsuntos!E18)/NºAsuntos!G18),(NºAsuntos!C18+NºAsuntos!E18)/NºAsuntos!G18," - ")</f>
        <v>2.1970382558617851</v>
      </c>
      <c r="AP18" s="877" t="str">
        <f t="shared" si="2"/>
        <v xml:space="preserve"> - </v>
      </c>
      <c r="AQ18" s="877">
        <f>IF(ISNUMBER((H18-W18+K18)/(F18)),(H18-W18+K18)/(F18)," - ")</f>
        <v>-0.89440765268579836</v>
      </c>
      <c r="AR18" s="878">
        <f>IF(ISNUMBER((Datos!P18-Datos!Q18)/(Datos!R18-Datos!P18+Datos!Q18)),(Datos!P18-Datos!Q18)/(Datos!R18-Datos!P18+Datos!Q18)," - ")</f>
        <v>-5.4245283018867926E-2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2912</v>
      </c>
      <c r="G19" s="821">
        <f t="shared" si="13"/>
        <v>3052</v>
      </c>
      <c r="H19" s="820">
        <f t="shared" si="13"/>
        <v>0</v>
      </c>
      <c r="I19" s="822">
        <f t="shared" si="13"/>
        <v>0</v>
      </c>
      <c r="J19" s="822">
        <f t="shared" si="13"/>
        <v>0</v>
      </c>
      <c r="K19" s="881">
        <f t="shared" si="13"/>
        <v>0</v>
      </c>
      <c r="L19" s="822">
        <f t="shared" si="13"/>
        <v>1029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2518</v>
      </c>
      <c r="X19" s="821">
        <f t="shared" si="14"/>
        <v>746</v>
      </c>
      <c r="Y19" s="828">
        <f t="shared" si="14"/>
        <v>3161</v>
      </c>
      <c r="Z19" s="828">
        <f t="shared" si="14"/>
        <v>0</v>
      </c>
      <c r="AA19" s="828">
        <f t="shared" si="14"/>
        <v>3078</v>
      </c>
      <c r="AB19" s="828">
        <f t="shared" si="14"/>
        <v>11155</v>
      </c>
      <c r="AC19" s="828">
        <f t="shared" si="14"/>
        <v>3578</v>
      </c>
      <c r="AD19" s="828">
        <f t="shared" si="14"/>
        <v>0</v>
      </c>
      <c r="AE19" s="830">
        <f t="shared" si="14"/>
        <v>0</v>
      </c>
      <c r="AF19" s="831">
        <f t="shared" si="14"/>
        <v>0</v>
      </c>
      <c r="AG19" s="832">
        <f t="shared" si="14"/>
        <v>0</v>
      </c>
      <c r="AH19" s="830">
        <f t="shared" si="14"/>
        <v>0</v>
      </c>
      <c r="AI19" s="820">
        <f t="shared" si="14"/>
        <v>1544</v>
      </c>
      <c r="AJ19" s="820">
        <f t="shared" si="14"/>
        <v>0</v>
      </c>
      <c r="AK19" s="830">
        <f t="shared" si="14"/>
        <v>0</v>
      </c>
      <c r="AL19" s="884">
        <f>IF(ISNUMBER(NºAsuntos!G19/NºAsuntos!E19),NºAsuntos!G19/NºAsuntos!E19," - ")</f>
        <v>0.85950413223140498</v>
      </c>
      <c r="AM19" s="885">
        <f>IF(ISNUMBER(((NºAsuntos!I19/NºAsuntos!G19)*11)/factor_trimestre),((NºAsuntos!I19/NºAsuntos!G19)*11)/factor_trimestre," - ")</f>
        <v>6.562271062271062</v>
      </c>
      <c r="AN19" s="885">
        <f>IF(ISNUMBER('Resol  Asuntos'!D19/NºAsuntos!G19),'Resol  Asuntos'!D19/NºAsuntos!G19," - ")</f>
        <v>0.23565323565323565</v>
      </c>
      <c r="AO19" s="886">
        <f>IF(ISNUMBER((NºAsuntos!C19+NºAsuntos!E19)/NºAsuntos!G19),(NºAsuntos!C19+NºAsuntos!E19)/NºAsuntos!G19," - ")</f>
        <v>3.1868131868131866</v>
      </c>
      <c r="AP19" s="887" t="str">
        <f t="shared" si="2"/>
        <v xml:space="preserve"> - </v>
      </c>
      <c r="AQ19" s="888">
        <f>IF(OR(ISNUMBER(FIND("01",Criterios!A8,1)),ISNUMBER(FIND("02",Criterios!A8,1)),ISNUMBER(FIND("03",Criterios!A8,1)),ISNUMBER(FIND("04",Criterios!A8,1))),(I19-W19+K19)/(F19-K19),(H19-W19+K19)/(F19-K19))</f>
        <v>-0.86469780219780223</v>
      </c>
      <c r="AR19" s="889">
        <f>IF(ISNUMBER((Datos!P19-Datos!Q19)/(Datos!R19-Datos!P19+Datos!Q19)),(Datos!P19-Datos!Q19)/(Datos!R19-Datos!P19+Datos!Q19)," - ")</f>
        <v>2.6030169242089771E-2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1017.3333333333334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1418.6467847917606</v>
      </c>
      <c r="G21" s="253">
        <f>IF(ISNUMBER(STDEV(G8:G18)),STDEV(G8:G18),"-")</f>
        <v>1368.4048621174461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1190.2864641197373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452.90585587483224</v>
      </c>
      <c r="AJ21" s="252">
        <f t="shared" si="18"/>
        <v>0</v>
      </c>
      <c r="AK21" s="254">
        <f t="shared" si="18"/>
        <v>0</v>
      </c>
      <c r="AL21" s="249">
        <f t="shared" si="18"/>
        <v>0.35394687803425862</v>
      </c>
      <c r="AM21" s="250">
        <f t="shared" si="18"/>
        <v>2.2373935536174154</v>
      </c>
      <c r="AN21" s="250">
        <f t="shared" si="18"/>
        <v>0.15076328326080096</v>
      </c>
      <c r="AO21" s="251">
        <f t="shared" si="18"/>
        <v>0.74837577868499983</v>
      </c>
      <c r="AP21" s="291" t="str">
        <f t="shared" si="18"/>
        <v>-</v>
      </c>
      <c r="AQ21" s="292">
        <f t="shared" si="18"/>
        <v>0.31533712891994214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77zQnPXHcbLpd4BmWLUD4WqBc8xXkiR0v7xTjnNkqy6xy98fIdaWlI6/VzPYe5fCISZyMYXqafDud+Wi39jvJA==" saltValue="OFeFVQkvDG64fQD0CheT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TELDE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0.33846153846153848</v>
      </c>
      <c r="I9" s="350">
        <f>IF(ISNUMBER((Tasas!C9-Datos!BE9)/Datos!BE9),(Tasas!C9-Datos!BE9)/Datos!BE9," - ")</f>
        <v>0.15495184868015793</v>
      </c>
      <c r="J9" s="349">
        <f>IF(ISNUMBER((Tasas!D9-Datos!BF9)/Datos!BF9),(Tasas!D9-Datos!BF9)/Datos!BF9," - ")</f>
        <v>-0.38939584956441675</v>
      </c>
      <c r="K9" s="351">
        <f>IF(ISNUMBER((Tasas!E9-Datos!BG9)/Datos!BG9),(Tasas!E9-Datos!BG9)/Datos!BG9," - ")</f>
        <v>0.11009265554166831</v>
      </c>
      <c r="M9" t="e">
        <f>IF(Monitorios="SI",Datos!CE9,0)</f>
        <v>#REF!</v>
      </c>
      <c r="N9" t="e">
        <f>IF(Monitorios="SI",Datos!CF9,0)</f>
        <v>#REF!</v>
      </c>
      <c r="O9" t="e">
        <f>IF(Monitorios="SI",Datos!CG9,0)</f>
        <v>#REF!</v>
      </c>
      <c r="P9" t="e">
        <f>IF(Monitorios="SI",Datos!CH9,0)</f>
        <v>#REF!</v>
      </c>
      <c r="Q9">
        <f>IF(J_V="SI",0,Datos!AG9)</f>
        <v>241</v>
      </c>
      <c r="R9">
        <f>IF(J_V="SI",0,Datos!AH9)</f>
        <v>131</v>
      </c>
      <c r="S9">
        <f>IF(J_V="SI",0,Datos!AI9)</f>
        <v>180</v>
      </c>
      <c r="T9">
        <f>IF(J_V="SI",0,Datos!AJ9)</f>
        <v>192</v>
      </c>
    </row>
    <row r="10" spans="2:20" ht="14.25">
      <c r="B10" s="275" t="s">
        <v>246</v>
      </c>
      <c r="C10" s="7" t="str">
        <f>Datos!A10</f>
        <v>Jdos. Violencia contra la mujer</v>
      </c>
      <c r="D10" s="352">
        <f>IF(ISNUMBER((Datos!I10-Datos!S10)/Datos!S10),(Datos!I10-Datos!S10)/Datos!S10," - ")</f>
        <v>0.13450292397660818</v>
      </c>
      <c r="E10" s="348">
        <f>IF(ISNUMBER((Datos!J10-Datos!T10)/Datos!T10),(Datos!J10-Datos!T10)/Datos!T10," - ")</f>
        <v>0.21951219512195122</v>
      </c>
      <c r="F10" s="348">
        <f>IF(ISNUMBER((Datos!K10-Datos!U10)/Datos!U10),(Datos!K10-Datos!U10)/Datos!U10," - ")</f>
        <v>1.4857142857142858</v>
      </c>
      <c r="G10" s="349">
        <f>IF(ISNUMBER((Datos!L10-Datos!V10)/Datos!V10),(Datos!L10-Datos!V10)/Datos!V10," - ")</f>
        <v>-0.11299435028248588</v>
      </c>
      <c r="H10" s="230">
        <f>IF(ISNUMBER((Datos!M10-Datos!W10)/Datos!W10),(Datos!M10-Datos!W10)/Datos!W10," - ")</f>
        <v>0.33333333333333331</v>
      </c>
      <c r="I10" s="350">
        <f>IF(ISNUMBER((Tasas!C10-Datos!BE10)/Datos!BE10),(Tasas!C10-Datos!BE10)/Datos!BE10," - ")</f>
        <v>-0.64315864666536793</v>
      </c>
      <c r="J10" s="349">
        <f>IF(ISNUMBER((Tasas!D10-Datos!BF10)/Datos!BF10),(Tasas!D10-Datos!BF10)/Datos!BF10," - ")</f>
        <v>-0.46360153256704983</v>
      </c>
      <c r="K10" s="351">
        <f>IF(ISNUMBER((Tasas!E10-Datos!BG10)/Datos!BG10),(Tasas!E10-Datos!BG10)/Datos!BG10," - ")</f>
        <v>-0.53697679462155712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0.3383838383838384</v>
      </c>
      <c r="I13" s="357">
        <f>IF(ISNUMBER((Tasas!C13-Datos!BE13)/Datos!BE13),(Tasas!C13-Datos!BE13)/Datos!BE13," - ")</f>
        <v>0.13506428357121161</v>
      </c>
      <c r="J13" s="355">
        <f>IF(ISNUMBER((Tasas!D13-Datos!BF13)/Datos!BF13),(Tasas!D13-Datos!BF13)/Datos!BF13," - ")</f>
        <v>-0.39188018642736488</v>
      </c>
      <c r="K13" s="358">
        <f>IF(ISNUMBER((Tasas!E13-Datos!BG13)/Datos!BG13),(Tasas!E13-Datos!BG13)/Datos!BG13," - ")</f>
        <v>9.6289546525620176E-2</v>
      </c>
      <c r="M13" t="e">
        <f>IF(Monitorios="SI",Datos!CE13,0)</f>
        <v>#REF!</v>
      </c>
      <c r="N13" t="e">
        <f>IF(Monitorios="SI",Datos!CF13,0)</f>
        <v>#REF!</v>
      </c>
      <c r="O13" t="e">
        <f>IF(Monitorios="SI",Datos!CG13,0)</f>
        <v>#REF!</v>
      </c>
      <c r="P13" t="e">
        <f>IF(Monitorios="SI",Datos!CH13,0)</f>
        <v>#REF!</v>
      </c>
      <c r="Q13">
        <f>IF(J_V="SI",0,Datos!AG13)</f>
        <v>241</v>
      </c>
      <c r="R13">
        <f>IF(J_V="SI",0,Datos!AH13)</f>
        <v>131</v>
      </c>
      <c r="S13">
        <f>IF(J_V="SI",0,Datos!AI13)</f>
        <v>180</v>
      </c>
      <c r="T13">
        <f>IF(J_V="SI",0,Datos!AJ13)</f>
        <v>192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0.13333333333333333</v>
      </c>
      <c r="E15" s="348">
        <f>IF(ISNUMBER(
   IF(D_I="SI",(Datos!J15-Datos!T15)/Datos!T15,(Datos!J15+Datos!AD15-(Datos!T15+Datos!AL15))/(Datos!T15+Datos!AL15))
     ),IF(D_I="SI",(Datos!J15-Datos!T15)/Datos!T15,(Datos!J15+Datos!AD15-(Datos!T15+Datos!AL15))/(Datos!T15+Datos!AL15))," - ")</f>
        <v>-1.9917012448132779E-2</v>
      </c>
      <c r="F15" s="348">
        <f>IF(ISNUMBER(
   IF(D_I="SI",(Datos!K15-Datos!U15)/Datos!U15,(Datos!K15+Datos!AE15-(Datos!U15+Datos!AM15))/(Datos!U15+Datos!AM15))
     ),IF(D_I="SI",(Datos!K15-Datos!U15)/Datos!U15,(Datos!K15+Datos!AE15-(Datos!U15+Datos!AM15))/(Datos!U15+Datos!AM15))," - ")</f>
        <v>0.12415130940834142</v>
      </c>
      <c r="G15" s="349">
        <f>IF(ISNUMBER(
   IF(D_I="SI",(Datos!L15-Datos!V15)/Datos!V15,(Datos!L15+Datos!AF15-(Datos!V15+Datos!AN15))/(Datos!V15+Datos!AN15))
     ),IF(D_I="SI",(Datos!L15-Datos!V15)/Datos!V15,(Datos!L15+Datos!AF15-(Datos!V15+Datos!AN15))/(Datos!V15+Datos!AN15))," - ")</f>
        <v>3.372049456725365E-2</v>
      </c>
      <c r="H15" s="230">
        <f>IF(ISNUMBER((Datos!M15-Datos!W15)/Datos!W15),(Datos!M15-Datos!W15)/Datos!W15," - ")</f>
        <v>0.28923076923076924</v>
      </c>
      <c r="I15" s="350">
        <f>IF(ISNUMBER((Tasas!C15-Datos!BE15)/Datos!BE15),(Tasas!C15-Datos!BE15)/Datos!BE15," - ")</f>
        <v>-8.044363252904356E-2</v>
      </c>
      <c r="J15" s="349">
        <f>IF(ISNUMBER((Tasas!D15-Datos!BF15)/Datos!BF15),(Tasas!D15-Datos!BF15)/Datos!BF15," - ")</f>
        <v>0.14684807858233229</v>
      </c>
      <c r="K15" s="351">
        <f>IF(ISNUMBER((Tasas!E15-Datos!BG15)/Datos!BG15),(Tasas!E15-Datos!BG15)/Datos!BG15," - ")</f>
        <v>-6.035010944856465E-2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v>
      </c>
      <c r="E16" s="348">
        <f>IF(ISNUMBER(
   IF(D_I="SI",(Datos!J16-Datos!T16)/Datos!T16,(Datos!J16+Datos!AD16-(Datos!T16+Datos!AL16))/(Datos!T16+Datos!AL16))
     ),IF(D_I="SI",(Datos!J16-Datos!T16)/Datos!T16,(Datos!J16+Datos!AD16-(Datos!T16+Datos!AL16))/(Datos!T16+Datos!AL16))," - ")</f>
        <v>-1</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-0.4</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-0.18817204301075269</v>
      </c>
      <c r="E17" s="348">
        <f>IF(ISNUMBER(
   IF(D_I="SI",(Datos!J17-Datos!T17)/Datos!T17,(Datos!J17+Datos!AD17-(Datos!T17+Datos!AL17))/(Datos!T17+Datos!AL17))
     ),IF(D_I="SI",(Datos!J17-Datos!T17)/Datos!T17,(Datos!J17+Datos!AD17-(Datos!T17+Datos!AL17))/(Datos!T17+Datos!AL17))," - ")</f>
        <v>-0.28402366863905326</v>
      </c>
      <c r="F17" s="348">
        <f>IF(ISNUMBER(
   IF(D_I="SI",(Datos!K17-Datos!U17)/Datos!U17,(Datos!K17+Datos!AE17-(Datos!U17+Datos!AM17))/(Datos!U17+Datos!AM17))
     ),IF(D_I="SI",(Datos!K17-Datos!U17)/Datos!U17,(Datos!K17+Datos!AE17-(Datos!U17+Datos!AM17))/(Datos!U17+Datos!AM17))," - ")</f>
        <v>-0.1171875</v>
      </c>
      <c r="G17" s="349">
        <f>IF(ISNUMBER(
   IF(D_I="SI",(Datos!L17-Datos!V17)/Datos!V17,(Datos!L17+Datos!AF17-(Datos!V17+Datos!AN17))/(Datos!V17+Datos!AN17))
     ),IF(D_I="SI",(Datos!L17-Datos!V17)/Datos!V17,(Datos!L17+Datos!AF17-(Datos!V17+Datos!AN17))/(Datos!V17+Datos!AN17))," - ")</f>
        <v>-0.29955947136563876</v>
      </c>
      <c r="H17" s="230">
        <f>IF(ISNUMBER((Datos!M17-Datos!W17)/Datos!W17),(Datos!M17-Datos!W17)/Datos!W17," - ")</f>
        <v>-1.5151515151515152E-2</v>
      </c>
      <c r="I17" s="350">
        <f>IF(ISNUMBER((Tasas!C17-Datos!BE17)/Datos!BE17),(Tasas!C17-Datos!BE17)/Datos!BE17," - ")</f>
        <v>-0.20658064013098906</v>
      </c>
      <c r="J17" s="349">
        <f>IF(ISNUMBER((Tasas!D17-Datos!BF17)/Datos!BF17),(Tasas!D17-Datos!BF17)/Datos!BF17," - ")</f>
        <v>0.11558058460713329</v>
      </c>
      <c r="K17" s="351">
        <f>IF(ISNUMBER((Tasas!E17-Datos!BG17)/Datos!BG17),(Tasas!E17-Datos!BG17)/Datos!BG17," - ")</f>
        <v>-0.13209522622460421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0.10947204968944099</v>
      </c>
      <c r="E18" s="354">
        <f>IF(ISNUMBER(
   IF(D_I="SI",(Datos!J18-Datos!T18)/Datos!T18,(Datos!J18+Datos!AD18-(Datos!T18+Datos!AL18))/(Datos!T18+Datos!AL18))
     ),IF(D_I="SI",(Datos!J18-Datos!T18)/Datos!T18,(Datos!J18+Datos!AD18-(Datos!T18+Datos!AL18))/(Datos!T18+Datos!AL18))," - ")</f>
        <v>-3.7596899224806204E-2</v>
      </c>
      <c r="F18" s="354">
        <f>IF(ISNUMBER(
   IF(D_I="SI",(Datos!K18-Datos!U18)/Datos!U18,(Datos!K18+Datos!AE18-(Datos!U18+Datos!AM18))/(Datos!U18+Datos!AM18))
     ),IF(D_I="SI",(Datos!K18-Datos!U18)/Datos!U18,(Datos!K18+Datos!AE18-(Datos!U18+Datos!AM18))/(Datos!U18+Datos!AM18))," - ")</f>
        <v>0.10953902327704244</v>
      </c>
      <c r="G18" s="355">
        <f>IF(ISNUMBER(
   IF(D_I="SI",(Datos!L18-Datos!V18)/Datos!V18,(Datos!L18+Datos!AF18-(Datos!V18+Datos!AN18))/(Datos!V18+Datos!AN18))
     ),IF(D_I="SI",(Datos!L18-Datos!V18)/Datos!V18,(Datos!L18+Datos!AF18-(Datos!V18+Datos!AN18))/(Datos!V18+Datos!AN18))," - ")</f>
        <v>6.894174422612892E-3</v>
      </c>
      <c r="H18" s="356">
        <f>IF(ISNUMBER((Datos!M18-Datos!W18)/Datos!W18),(Datos!M18-Datos!W18)/Datos!W18," - ")</f>
        <v>0.23785166240409208</v>
      </c>
      <c r="I18" s="357">
        <f>IF(ISNUMBER((Tasas!C18-Datos!BE18)/Datos!BE18),(Tasas!C18-Datos!BE18)/Datos!BE18," - ")</f>
        <v>-9.2511256207344669E-2</v>
      </c>
      <c r="J18" s="355">
        <f>IF(ISNUMBER((Tasas!D18-Datos!BF18)/Datos!BF18),(Tasas!D18-Datos!BF18)/Datos!BF18," - ")</f>
        <v>0.11564499890060287</v>
      </c>
      <c r="K18" s="358">
        <f>IF(ISNUMBER((Tasas!E18-Datos!BG18)/Datos!BG18),(Tasas!E18-Datos!BG18)/Datos!BG18," - ")</f>
        <v>-6.638657513708858E-2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0.19983708932935107</v>
      </c>
      <c r="E19" s="363">
        <f>IF(ISNUMBER(
   IF(J_V="SI",(Datos!J19-Datos!T19)/Datos!T19,(Datos!J19+Datos!Z19-(Datos!T19+Datos!AH19))/(Datos!T19+Datos!AH19))
     ),IF(J_V="SI",(Datos!J19-Datos!T19)/Datos!T19,(Datos!J19+Datos!Z19-(Datos!T19+Datos!AH19))/(Datos!T19+Datos!AH19))," - ")</f>
        <v>8.7136337706788358E-2</v>
      </c>
      <c r="F19" s="363">
        <f>IF(ISNUMBER(
   IF(J_V="SI",(Datos!K19-Datos!U19)/Datos!U19,(Datos!K19+Datos!AA19-(Datos!U19+Datos!AI19))/(Datos!U19+Datos!AI19))
     ),IF(J_V="SI",(Datos!K19-Datos!U19)/Datos!U19,(Datos!K19+Datos!AA19-(Datos!U19+Datos!AI19))/(Datos!U19+Datos!AI19))," - ")</f>
        <v>0.10247349823321555</v>
      </c>
      <c r="G19" s="364">
        <f>IF(ISNUMBER(
   IF(J_V="SI",(Datos!L19-Datos!V19)/Datos!V19,(Datos!L19+Datos!AB19-(Datos!V19+Datos!AJ19))/(Datos!V19+Datos!AJ19))
     ),IF(J_V="SI",(Datos!L19-Datos!V19)/Datos!V19,(Datos!L19+Datos!AB19-(Datos!V19+Datos!AJ19))/(Datos!V19+Datos!AJ19))," - ")</f>
        <v>0.18898291023726563</v>
      </c>
      <c r="H19" s="365">
        <f>IF(ISNUMBER((Datos!M19-Datos!W19)/Datos!W19),(Datos!M19-Datos!W19)/Datos!W19," - ")</f>
        <v>0.305156382079459</v>
      </c>
      <c r="I19" s="362">
        <f>IF(ISNUMBER((Tasas!C19-Datos!BE19)/Datos!BE19),(Tasas!C19-Datos!BE19)/Datos!BE19," - ")</f>
        <v>7.846847306777599E-2</v>
      </c>
      <c r="J19" s="363">
        <f>IF(ISNUMBER((Tasas!D19-Datos!BF19)/Datos!BF19),(Tasas!D19-Datos!BF19)/Datos!BF19," - ")</f>
        <v>-0.29196805890435817</v>
      </c>
      <c r="K19" s="364">
        <f>IF(ISNUMBER((Tasas!E19-Datos!BG19)/Datos!BG19),(Tasas!E19-Datos!BG19)/Datos!BG19," - ")</f>
        <v>4.8625810820595104E-2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0.17552639233036871</v>
      </c>
      <c r="E21" s="278">
        <f t="shared" si="1"/>
        <v>0.4687422184336642</v>
      </c>
      <c r="F21" s="278">
        <f t="shared" si="1"/>
        <v>0.89106103924497426</v>
      </c>
      <c r="G21" s="279">
        <f t="shared" si="1"/>
        <v>0.19007247985577883</v>
      </c>
      <c r="H21" s="285">
        <f t="shared" si="1"/>
        <v>0.13747150967985391</v>
      </c>
      <c r="I21" s="277">
        <f t="shared" si="1"/>
        <v>0.29125282251626378</v>
      </c>
      <c r="J21" s="278">
        <f t="shared" si="1"/>
        <v>0.29772394908195615</v>
      </c>
      <c r="K21" s="279">
        <f t="shared" si="1"/>
        <v>0.23551249460916565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vs5GhD78Vd8qiKtJb/0RpiZLTgdTTrK8pKtgwJWFNAqaeirMvWJQVtFU+st5Bf9+gCZs+2go8tHffckMhlH3w==" saltValue="cZs/6WkouJzTyfBWOGlm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